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Milestone Tracker" sheetId="2" state="visible" r:id="rId2"/>
    <sheet name="Synergy Register" sheetId="3" state="visible" r:id="rId3"/>
    <sheet name="Risk Register" sheetId="4" state="visible" r:id="rId4"/>
    <sheet name="Earn-Out Tracker" sheetId="5" state="visible" r:id="rId5"/>
    <sheet name="Assump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#,##0.0"/>
    <numFmt numFmtId="167" formatCode="&quot;$&quot;#,##0.0&quot;M&quot;"/>
  </numFmts>
  <fonts count="8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666666"/>
      <sz val="9"/>
    </font>
    <font>
      <name val="Calibri"/>
      <b val="1"/>
      <sz val="11"/>
    </font>
    <font>
      <name val="Calibri"/>
      <family val="2"/>
      <b val="1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/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7">
    <xf numFmtId="0" fontId="0" fillId="0" borderId="0"/>
    <xf numFmtId="0" fontId="1" fillId="0" borderId="1" applyAlignment="1">
      <alignment horizontal="left" vertical="center"/>
    </xf>
    <xf numFmtId="0" fontId="2" fillId="2" borderId="2" applyAlignment="1">
      <alignment horizontal="center" vertical="center" wrapText="1"/>
    </xf>
    <xf numFmtId="0" fontId="3" fillId="3" borderId="2" applyAlignment="1">
      <alignment horizontal="right" vertical="center"/>
    </xf>
    <xf numFmtId="0" fontId="3" fillId="0" borderId="2" applyAlignment="1">
      <alignment horizontal="right" vertical="center"/>
    </xf>
    <xf numFmtId="0" fontId="4" fillId="0" borderId="1" applyAlignment="1">
      <alignment horizontal="left" vertical="top" wrapText="1"/>
    </xf>
    <xf numFmtId="0" fontId="5" fillId="4" borderId="2" applyAlignment="1">
      <alignment horizontal="right" vertical="center"/>
    </xf>
  </cellStyleXfs>
  <cellXfs count="40">
    <xf numFmtId="0" fontId="0" fillId="0" borderId="0" pivotButton="0" quotePrefix="0" xfId="0"/>
    <xf numFmtId="0" fontId="3" fillId="0" borderId="0" pivotButton="0" quotePrefix="0" xfId="0"/>
    <xf numFmtId="0" fontId="1" fillId="0" borderId="1" applyAlignment="1" pivotButton="0" quotePrefix="0" xfId="1">
      <alignment horizontal="left" vertical="center"/>
    </xf>
    <xf numFmtId="0" fontId="4" fillId="0" borderId="1" applyAlignment="1" pivotButton="0" quotePrefix="0" xfId="5">
      <alignment horizontal="left" vertical="top" wrapText="1"/>
    </xf>
    <xf numFmtId="0" fontId="5" fillId="4" borderId="2" applyAlignment="1" pivotButton="0" quotePrefix="0" xfId="6">
      <alignment horizontal="right" vertical="center"/>
    </xf>
    <xf numFmtId="0" fontId="2" fillId="2" borderId="2" applyAlignment="1" pivotButton="0" quotePrefix="0" xfId="2">
      <alignment horizontal="center" vertical="center" wrapText="1"/>
    </xf>
    <xf numFmtId="164" fontId="3" fillId="0" borderId="2" applyAlignment="1" pivotButton="0" quotePrefix="0" xfId="4">
      <alignment horizontal="right" vertical="center"/>
    </xf>
    <xf numFmtId="3" fontId="3" fillId="0" borderId="2" applyAlignment="1" pivotButton="0" quotePrefix="0" xfId="4">
      <alignment horizontal="right" vertical="center"/>
    </xf>
    <xf numFmtId="9" fontId="3" fillId="0" borderId="2" applyAlignment="1" pivotButton="0" quotePrefix="0" xfId="4">
      <alignment horizontal="right" vertical="center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3" fillId="0" borderId="2" applyAlignment="1" pivotButton="0" quotePrefix="0" xfId="4">
      <alignment horizontal="right" vertical="center"/>
    </xf>
    <xf numFmtId="165" fontId="3" fillId="3" borderId="2" applyAlignment="1" pivotButton="0" quotePrefix="0" xfId="3">
      <alignment horizontal="right" vertical="center"/>
    </xf>
    <xf numFmtId="0" fontId="3" fillId="0" borderId="2" applyAlignment="1" pivotButton="0" quotePrefix="0" xfId="4">
      <alignment horizontal="center"/>
    </xf>
    <xf numFmtId="0" fontId="0" fillId="0" borderId="0" applyAlignment="1" pivotButton="0" quotePrefix="0" xfId="0">
      <alignment horizontal="center" vertical="center"/>
    </xf>
    <xf numFmtId="3" fontId="3" fillId="3" borderId="2" applyAlignment="1" pivotButton="0" quotePrefix="0" xfId="3">
      <alignment horizontal="right" vertical="center"/>
    </xf>
    <xf numFmtId="9" fontId="3" fillId="3" borderId="2" applyAlignment="1" pivotButton="0" quotePrefix="0" xfId="3">
      <alignment horizontal="right" vertical="center"/>
    </xf>
    <xf numFmtId="166" fontId="3" fillId="0" borderId="2" applyAlignment="1" pivotButton="0" quotePrefix="0" xfId="4">
      <alignment horizontal="right" vertical="center"/>
    </xf>
    <xf numFmtId="166" fontId="3" fillId="3" borderId="2" applyAlignment="1" pivotButton="0" quotePrefix="0" xfId="3">
      <alignment horizontal="right" vertical="center"/>
    </xf>
    <xf numFmtId="0" fontId="6" fillId="0" borderId="0" pivotButton="0" quotePrefix="0" xfId="0"/>
    <xf numFmtId="3" fontId="7" fillId="4" borderId="2" applyAlignment="1" pivotButton="0" quotePrefix="0" xfId="6">
      <alignment horizontal="right" vertical="center"/>
    </xf>
    <xf numFmtId="9" fontId="7" fillId="4" borderId="2" applyAlignment="1" pivotButton="0" quotePrefix="0" xfId="6">
      <alignment horizontal="right" vertical="center"/>
    </xf>
    <xf numFmtId="0" fontId="7" fillId="4" borderId="2" applyAlignment="1" pivotButton="0" quotePrefix="0" xfId="6">
      <alignment horizontal="center"/>
    </xf>
    <xf numFmtId="0" fontId="3" fillId="0" borderId="2" applyAlignment="1" pivotButton="0" quotePrefix="0" xfId="4">
      <alignment horizontal="right" vertical="center"/>
    </xf>
    <xf numFmtId="166" fontId="7" fillId="4" borderId="2" applyAlignment="1" pivotButton="0" quotePrefix="0" xfId="6">
      <alignment horizontal="right" vertical="center"/>
    </xf>
    <xf numFmtId="1" fontId="3" fillId="3" borderId="2" applyAlignment="1" pivotButton="0" quotePrefix="0" xfId="3">
      <alignment horizontal="center"/>
    </xf>
    <xf numFmtId="1" fontId="3" fillId="0" borderId="2" applyAlignment="1" pivotButton="0" quotePrefix="0" xfId="4">
      <alignment horizontal="right" vertical="center"/>
    </xf>
    <xf numFmtId="0" fontId="3" fillId="3" borderId="2" applyAlignment="1" pivotButton="0" quotePrefix="0" xfId="3">
      <alignment horizontal="right" vertical="top" wrapText="1"/>
    </xf>
    <xf numFmtId="164" fontId="3" fillId="3" borderId="2" applyAlignment="1" pivotButton="0" quotePrefix="0" xfId="3">
      <alignment horizontal="right" vertical="center"/>
    </xf>
    <xf numFmtId="167" fontId="3" fillId="3" borderId="2" applyAlignment="1" pivotButton="0" quotePrefix="0" xfId="3">
      <alignment horizontal="right" vertical="center"/>
    </xf>
    <xf numFmtId="167" fontId="3" fillId="0" borderId="2" applyAlignment="1" pivotButton="0" quotePrefix="0" xfId="4">
      <alignment horizontal="right" vertical="center"/>
    </xf>
    <xf numFmtId="165" fontId="3" fillId="0" borderId="2" applyAlignment="1" pivotButton="0" quotePrefix="0" xfId="4">
      <alignment horizontal="right" vertical="center"/>
    </xf>
    <xf numFmtId="165" fontId="3" fillId="3" borderId="2" applyAlignment="1" pivotButton="0" quotePrefix="0" xfId="3">
      <alignment horizontal="right" vertical="center"/>
    </xf>
    <xf numFmtId="166" fontId="3" fillId="0" borderId="2" applyAlignment="1" pivotButton="0" quotePrefix="0" xfId="4">
      <alignment horizontal="right" vertical="center"/>
    </xf>
    <xf numFmtId="166" fontId="3" fillId="3" borderId="2" applyAlignment="1" pivotButton="0" quotePrefix="0" xfId="3">
      <alignment horizontal="right" vertical="center"/>
    </xf>
    <xf numFmtId="166" fontId="7" fillId="4" borderId="2" applyAlignment="1" pivotButton="0" quotePrefix="0" xfId="6">
      <alignment horizontal="right" vertical="center"/>
    </xf>
    <xf numFmtId="0" fontId="3" fillId="0" borderId="2" applyAlignment="1" pivotButton="0" quotePrefix="0" xfId="3">
      <alignment vertical="top" wrapText="1"/>
    </xf>
    <xf numFmtId="0" fontId="4" fillId="0" borderId="1" applyAlignment="1" pivotButton="0" quotePrefix="0" xfId="5">
      <alignment vertical="top" wrapText="1"/>
    </xf>
    <xf numFmtId="167" fontId="3" fillId="3" borderId="2" applyAlignment="1" pivotButton="0" quotePrefix="0" xfId="3">
      <alignment horizontal="right" vertical="center"/>
    </xf>
    <xf numFmtId="167" fontId="3" fillId="0" borderId="2" applyAlignment="1" pivotButton="0" quotePrefix="0" xfId="4">
      <alignment horizontal="right" vertical="center"/>
    </xf>
  </cellXfs>
  <cellStyles count="7">
    <cellStyle name="Normal" xfId="0" builtinId="0" hidden="0"/>
    <cellStyle name="DV_Title" xfId="1" hidden="0"/>
    <cellStyle name="DV_Header" xfId="2" hidden="0"/>
    <cellStyle name="DV_Input" xfId="3" hidden="0"/>
    <cellStyle name="DV_Calc" xfId="4" hidden="0"/>
    <cellStyle name="DV_Note" xfId="5" hidden="0"/>
    <cellStyle name="DV_Highlight" xfId="6" hidden="0"/>
  </cellStyles>
  <dxfs count="5">
    <dxf>
      <font>
        <b val="1"/>
        <color rgb="001E6B34"/>
      </font>
      <fill>
        <patternFill patternType="solid">
          <bgColor rgb="00C6EFCE"/>
        </patternFill>
      </fill>
    </dxf>
    <dxf>
      <font>
        <b val="1"/>
        <color rgb="008A6100"/>
      </font>
      <fill>
        <patternFill patternType="solid">
          <bgColor rgb="00FFEB9C"/>
        </patternFill>
      </fill>
    </dxf>
    <dxf>
      <font>
        <b val="1"/>
        <color rgb="009C0006"/>
      </font>
      <fill>
        <patternFill patternType="solid">
          <bgColor rgb="00FFC7CE"/>
        </patternFill>
      </fill>
    </dxf>
    <dxf>
      <font>
        <b val="1"/>
        <color rgb="001F3864"/>
      </font>
      <fill>
        <patternFill patternType="solid">
          <bgColor rgb="00DDEBF7"/>
        </patternFill>
      </fill>
    </dxf>
    <dxf>
      <font>
        <b val="1"/>
        <color rgb="00595959"/>
      </font>
      <fill>
        <patternFill patternType="solid">
          <b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Milestone Completion by Workstream (% complete)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'Dashboard'!G19</f>
            </strRef>
          </tx>
          <spPr>
            <a:solidFill>
              <a:srgbClr val="1F3864"/>
            </a:solidFill>
            <a:ln>
              <a:prstDash val="solid"/>
            </a:ln>
          </spPr>
          <cat>
            <numRef>
              <f>'Dashboard'!$A$20:$A$25</f>
            </numRef>
          </cat>
          <val>
            <numRef>
              <f>'Dashboard'!$G$20:$G$25</f>
            </numRef>
          </val>
        </ser>
        <dLbls>
          <numFmt formatCode="0%"/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out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Cost-per-Delivery Glidepath vs. Earn-Out Thresholds ($/delivery)</a:t>
            </a:r>
          </a:p>
        </rich>
      </tx>
    </title>
    <plotArea>
      <lineChart>
        <grouping val="standard"/>
        <ser>
          <idx val="0"/>
          <order val="0"/>
          <tx>
            <strRef>
              <f>'Assumptions'!C22</f>
            </strRef>
          </tx>
          <spPr>
            <a:solidFill>
              <a:srgbClr val="1F3864"/>
            </a:solidFill>
            <a:ln w="22000">
              <a:solidFill>
                <a:srgbClr val="1F3864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'Assumptions'!$A$23:$A$28</f>
            </numRef>
          </cat>
          <val>
            <numRef>
              <f>'Assumptions'!$C$23:$C$28</f>
            </numRef>
          </val>
          <smooth val="0"/>
        </ser>
        <ser>
          <idx val="1"/>
          <order val="1"/>
          <tx>
            <strRef>
              <f>'Assumptions'!D22</f>
            </strRef>
          </tx>
          <spPr>
            <a:solidFill>
              <a:srgbClr val="4A90D9"/>
            </a:solidFill>
            <a:ln w="22000">
              <a:solidFill>
                <a:srgbClr val="4A90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'Assumptions'!$A$23:$A$28</f>
            </numRef>
          </cat>
          <val>
            <numRef>
              <f>'Assumptions'!$D$23:$D$28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out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27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46" customWidth="1" min="3" max="3"/>
    <col width="16" customWidth="1" min="4" max="4"/>
    <col width="16" customWidth="1" min="5" max="5"/>
    <col width="18" customWidth="1" min="6" max="6"/>
    <col width="12" customWidth="1" min="7" max="7"/>
    <col width="20" customWidth="1" min="8" max="8"/>
    <col width="44" customWidth="1" min="9" max="9"/>
  </cols>
  <sheetData>
    <row r="1">
      <c r="A1" s="2" t="inlineStr">
        <is>
          <t>DroneUp Post-Merger Integration — Executive Dashboard</t>
        </is>
      </c>
    </row>
    <row r="2" ht="26" customHeight="1">
      <c r="A2" s="3" t="inlineStr">
        <is>
          <t>Walmart acquisition of DroneUp · First 100 Days · ALL VALUES ARE ILLUSTRATIVE PLANNING FIGURES, not actuals. Baselines, targets and milestones are drawn from the integration plan; current readings and RAG are seeded for demonstration.</t>
        </is>
      </c>
    </row>
    <row r="4">
      <c r="A4" s="4" t="inlineStr">
        <is>
          <t>Timeline &amp; Countdown</t>
        </is>
      </c>
    </row>
    <row r="5" ht="30" customHeight="1">
      <c r="A5" s="5" t="inlineStr">
        <is>
          <t>Close Date (Day 1)</t>
        </is>
      </c>
      <c r="B5" s="5" t="inlineStr">
        <is>
          <t>Day 30 Gate</t>
        </is>
      </c>
      <c r="C5" s="5" t="inlineStr">
        <is>
          <t>Day 100 Gate</t>
        </is>
      </c>
      <c r="D5" s="5" t="inlineStr">
        <is>
          <t>Days Since Close</t>
        </is>
      </c>
      <c r="E5" s="5" t="inlineStr">
        <is>
          <t>Days to Day 100</t>
        </is>
      </c>
      <c r="F5" s="5" t="inlineStr">
        <is>
          <t>100-Day Window Elapsed</t>
        </is>
      </c>
    </row>
    <row r="6">
      <c r="A6" s="6">
        <f>Assumptions!$B$6</f>
        <v/>
      </c>
      <c r="B6" s="6">
        <f>Assumptions!$B$7</f>
        <v/>
      </c>
      <c r="C6" s="6">
        <f>Assumptions!$B$8</f>
        <v/>
      </c>
      <c r="D6" s="7">
        <f>MAX(0,TODAY()-Assumptions!$B$6)</f>
        <v/>
      </c>
      <c r="E6" s="7">
        <f>Assumptions!$B$8-TODAY()</f>
        <v/>
      </c>
      <c r="F6" s="8">
        <f>MEDIAN(0,(TODAY()-Assumptions!$B$6)/(Assumptions!$B$8-Assumptions!$B$6),1)</f>
        <v/>
      </c>
    </row>
    <row r="8">
      <c r="A8" s="4" t="inlineStr">
        <is>
          <t>1 · North-Star KPIs — one per workstream</t>
        </is>
      </c>
    </row>
    <row r="9" ht="30" customHeight="1">
      <c r="A9" s="5" t="inlineStr">
        <is>
          <t>North-Star KPI</t>
        </is>
      </c>
      <c r="B9" s="5" t="inlineStr">
        <is>
          <t>Workstream</t>
        </is>
      </c>
      <c r="C9" s="5" t="inlineStr">
        <is>
          <t>Unit / Basis</t>
        </is>
      </c>
      <c r="D9" s="5" t="inlineStr">
        <is>
          <t>Baseline (Close)</t>
        </is>
      </c>
      <c r="E9" s="5" t="inlineStr">
        <is>
          <t>Day-100 Target</t>
        </is>
      </c>
      <c r="F9" s="5" t="inlineStr">
        <is>
          <t>Current (illustrative)</t>
        </is>
      </c>
      <c r="G9" s="5" t="inlineStr">
        <is>
          <t>RAG</t>
        </is>
      </c>
      <c r="H9" s="5" t="inlineStr">
        <is>
          <t>Better Direction (drives RAG)</t>
        </is>
      </c>
      <c r="I9" s="5" t="inlineStr">
        <is>
          <t>Day-100 Gate Criterion (plan §7)</t>
        </is>
      </c>
    </row>
    <row r="10" ht="34" customHeight="1">
      <c r="A10" s="9" t="inlineStr">
        <is>
          <t>Cost per delivery</t>
        </is>
      </c>
      <c r="B10" s="10" t="inlineStr">
        <is>
          <t>Flight Operations</t>
        </is>
      </c>
      <c r="C10" s="10" t="inlineStr">
        <is>
          <t>$ per delivery</t>
        </is>
      </c>
      <c r="D10" s="31" t="n">
        <v>30</v>
      </c>
      <c r="E10" s="32" t="n">
        <v>24</v>
      </c>
      <c r="F10" s="32" t="n">
        <v>26.4</v>
      </c>
      <c r="G10" s="13">
        <f>IF($F10="","—",IF($H10="Higher",IF($F10&gt;=$E10,"Green",IF($F10&gt;=0.8*$E10,"Amber","Red")),IF($F10&lt;=$E10,"Green",IF($F10&lt;=1.2*$E10,"Amber","Red"))))</f>
        <v/>
      </c>
      <c r="H10" s="14" t="inlineStr">
        <is>
          <t>Lower</t>
        </is>
      </c>
      <c r="I10" s="10" t="inlineStr">
        <is>
          <t>Validated glidepath published; M:N pilot live</t>
        </is>
      </c>
    </row>
    <row r="11" ht="34" customHeight="1">
      <c r="A11" s="9" t="inlineStr">
        <is>
          <t>ATOMx orchestration pilot sites live</t>
        </is>
      </c>
      <c r="B11" s="10" t="inlineStr">
        <is>
          <t>Technology &amp; UTM</t>
        </is>
      </c>
      <c r="C11" s="10" t="inlineStr">
        <is>
          <t># test sites coordinating DroneUp + Wing + Zipline</t>
        </is>
      </c>
      <c r="D11" s="7" t="n">
        <v>0</v>
      </c>
      <c r="E11" s="15" t="n">
        <v>2</v>
      </c>
      <c r="F11" s="15" t="n">
        <v>2</v>
      </c>
      <c r="G11" s="13">
        <f>IF($F11="","—",IF($H11="Higher",IF($F11&gt;=$E11,"Green",IF($F11&gt;=0.8*$E11,"Amber","Red")),IF($F11&lt;=$E11,"Green",IF($F11&lt;=1.2*$E11,"Amber","Red"))))</f>
        <v/>
      </c>
      <c r="H11" s="14" t="inlineStr">
        <is>
          <t>Higher</t>
        </is>
      </c>
      <c r="I11" s="10" t="inlineStr">
        <is>
          <t>Three operators coordinated at two sites</t>
        </is>
      </c>
    </row>
    <row r="12" ht="34" customHeight="1">
      <c r="A12" s="9" t="inlineStr">
        <is>
          <t>Key-talent retention</t>
        </is>
      </c>
      <c r="B12" s="10" t="inlineStr">
        <is>
          <t>People &amp; Culture</t>
        </is>
      </c>
      <c r="C12" s="10" t="inlineStr">
        <is>
          <t>% of top ~25 critical staff retained</t>
        </is>
      </c>
      <c r="D12" s="8" t="n">
        <v>1</v>
      </c>
      <c r="E12" s="16" t="n">
        <v>0.9</v>
      </c>
      <c r="F12" s="16" t="n">
        <v>0.96</v>
      </c>
      <c r="G12" s="13">
        <f>IF($F12="","—",IF($H12="Higher",IF($F12&gt;=$E12,"Green",IF($F12&gt;=0.8*$E12,"Amber","Red")),IF($F12&lt;=$E12,"Green",IF($F12&lt;=1.2*$E12,"Amber","Red"))))</f>
        <v/>
      </c>
      <c r="H12" s="14" t="inlineStr">
        <is>
          <t>Higher</t>
        </is>
      </c>
      <c r="I12" s="10" t="inlineStr">
        <is>
          <t>≥90% retention of key talent</t>
        </is>
      </c>
    </row>
    <row r="13" ht="34" customHeight="1">
      <c r="A13" s="9" t="inlineStr">
        <is>
          <t>New supercenter hubs in build-out</t>
        </is>
      </c>
      <c r="B13" s="10" t="inlineStr">
        <is>
          <t>Commercial &amp; Stores Rollout</t>
        </is>
      </c>
      <c r="C13" s="10" t="inlineStr">
        <is>
          <t># hubs in physical build-out</t>
        </is>
      </c>
      <c r="D13" s="7" t="n">
        <v>0</v>
      </c>
      <c r="E13" s="15" t="n">
        <v>5</v>
      </c>
      <c r="F13" s="15" t="n">
        <v>4</v>
      </c>
      <c r="G13" s="13">
        <f>IF($F13="","—",IF($H13="Higher",IF($F13&gt;=$E13,"Green",IF($F13&gt;=0.8*$E13,"Amber","Red")),IF($F13&lt;=$E13,"Green",IF($F13&lt;=1.2*$E13,"Amber","Red"))))</f>
        <v/>
      </c>
      <c r="H13" s="14" t="inlineStr">
        <is>
          <t>Higher</t>
        </is>
      </c>
      <c r="I13" s="10" t="inlineStr">
        <is>
          <t>5 new hubs in build-out; DBX pilot at 2 stores</t>
        </is>
      </c>
    </row>
    <row r="14" ht="34" customHeight="1">
      <c r="A14" s="9" t="inlineStr">
        <is>
          <t>Certificate &amp; authorisation health</t>
        </is>
      </c>
      <c r="B14" s="10" t="inlineStr">
        <is>
          <t>Regulatory &amp; Safety</t>
        </is>
      </c>
      <c r="C14" s="10" t="inlineStr">
        <is>
          <t># FAA findings or authorisation lapses</t>
        </is>
      </c>
      <c r="D14" s="7" t="n">
        <v>0</v>
      </c>
      <c r="E14" s="15" t="n">
        <v>0</v>
      </c>
      <c r="F14" s="15" t="n">
        <v>0</v>
      </c>
      <c r="G14" s="13">
        <f>IF($F14="","—",IF($H14="Higher",IF($F14&gt;=$E14,"Green",IF($F14&gt;=0.8*$E14,"Amber","Red")),IF($F14&lt;=$E14,"Green",IF($F14&lt;=1.2*$E14,"Amber","Red"))))</f>
        <v/>
      </c>
      <c r="H14" s="14" t="inlineStr">
        <is>
          <t>Lower</t>
        </is>
      </c>
      <c r="I14" s="10" t="inlineStr">
        <is>
          <t>Zero findings; zero lapses; SMS reporting integrated</t>
        </is>
      </c>
    </row>
    <row r="15" ht="34" customHeight="1">
      <c r="A15" s="9" t="inlineStr">
        <is>
          <t>Net run-rate synergy captured</t>
        </is>
      </c>
      <c r="B15" s="10" t="inlineStr">
        <is>
          <t>Finance &amp; Synergies</t>
        </is>
      </c>
      <c r="C15" s="10" t="inlineStr">
        <is>
          <t>$M recurring run-rate realised</t>
        </is>
      </c>
      <c r="D15" s="33" t="n">
        <v>0</v>
      </c>
      <c r="E15" s="34" t="n">
        <v>10</v>
      </c>
      <c r="F15" s="34">
        <f>'Synergy Register'!$G$13</f>
        <v/>
      </c>
      <c r="G15" s="13">
        <f>IF($F15="","—",IF($H15="Higher",IF($F15&gt;=$E15,"Green",IF($F15&gt;=0.8*$E15,"Amber","Red")),IF($F15&lt;=$E15,"Green",IF($F15&lt;=1.2*$E15,"Amber","Red"))))</f>
        <v/>
      </c>
      <c r="H15" s="14" t="inlineStr">
        <is>
          <t>Higher</t>
        </is>
      </c>
      <c r="I15" s="10" t="inlineStr">
        <is>
          <t>Register 100% owner-assigned; first report issued</t>
        </is>
      </c>
    </row>
    <row r="16">
      <c r="A16" s="3" t="inlineStr">
        <is>
          <t>RAG rule: meets or beats target = Green; within 20% of target = Amber; otherwise Red. Direction column tells the formula whether higher or lower is better.</t>
        </is>
      </c>
    </row>
    <row r="18">
      <c r="A18" s="4" t="inlineStr">
        <is>
          <t>2 · Milestone Completion by Workstream</t>
        </is>
      </c>
    </row>
    <row r="19" ht="30" customHeight="1">
      <c r="A19" s="5" t="inlineStr">
        <is>
          <t>Workstream</t>
        </is>
      </c>
      <c r="B19" s="5" t="inlineStr">
        <is>
          <t>Total Milestones</t>
        </is>
      </c>
      <c r="C19" s="5" t="inlineStr">
        <is>
          <t>Complete</t>
        </is>
      </c>
      <c r="D19" s="5" t="inlineStr">
        <is>
          <t>On Track</t>
        </is>
      </c>
      <c r="E19" s="5" t="inlineStr">
        <is>
          <t>At Risk</t>
        </is>
      </c>
      <c r="F19" s="5" t="inlineStr">
        <is>
          <t>Not Started</t>
        </is>
      </c>
      <c r="G19" s="5" t="inlineStr">
        <is>
          <t>% Complete</t>
        </is>
      </c>
      <c r="H19" s="5" t="inlineStr">
        <is>
          <t>RAG</t>
        </is>
      </c>
    </row>
    <row r="20">
      <c r="A20" s="19" t="inlineStr">
        <is>
          <t>Flight Operations</t>
        </is>
      </c>
      <c r="B20" s="7">
        <f>COUNTIF('Milestone Tracker'!$A$6:$A$41,$A20)</f>
        <v/>
      </c>
      <c r="C20" s="7">
        <f>COUNTIFS('Milestone Tracker'!$A$6:$A$41,$A20,'Milestone Tracker'!$F$6:$F$41,"Complete")</f>
        <v/>
      </c>
      <c r="D20" s="7">
        <f>COUNTIFS('Milestone Tracker'!$A$6:$A$41,$A20,'Milestone Tracker'!$F$6:$F$41,"On Track")</f>
        <v/>
      </c>
      <c r="E20" s="7">
        <f>COUNTIFS('Milestone Tracker'!$A$6:$A$41,$A20,'Milestone Tracker'!$F$6:$F$41,"At Risk")</f>
        <v/>
      </c>
      <c r="F20" s="7">
        <f>COUNTIFS('Milestone Tracker'!$A$6:$A$41,$A20,'Milestone Tracker'!$F$6:$F$41,"Not Started")</f>
        <v/>
      </c>
      <c r="G20" s="8">
        <f>IF($B20=0,"",$C20/$B20)</f>
        <v/>
      </c>
      <c r="H20" s="13">
        <f>IF($E20&gt;=2,"Red",IF($E20=1,"Amber","Green"))</f>
        <v/>
      </c>
    </row>
    <row r="21">
      <c r="A21" s="19" t="inlineStr">
        <is>
          <t>Technology &amp; UTM</t>
        </is>
      </c>
      <c r="B21" s="7">
        <f>COUNTIF('Milestone Tracker'!$A$6:$A$41,$A21)</f>
        <v/>
      </c>
      <c r="C21" s="7">
        <f>COUNTIFS('Milestone Tracker'!$A$6:$A$41,$A21,'Milestone Tracker'!$F$6:$F$41,"Complete")</f>
        <v/>
      </c>
      <c r="D21" s="7">
        <f>COUNTIFS('Milestone Tracker'!$A$6:$A$41,$A21,'Milestone Tracker'!$F$6:$F$41,"On Track")</f>
        <v/>
      </c>
      <c r="E21" s="7">
        <f>COUNTIFS('Milestone Tracker'!$A$6:$A$41,$A21,'Milestone Tracker'!$F$6:$F$41,"At Risk")</f>
        <v/>
      </c>
      <c r="F21" s="7">
        <f>COUNTIFS('Milestone Tracker'!$A$6:$A$41,$A21,'Milestone Tracker'!$F$6:$F$41,"Not Started")</f>
        <v/>
      </c>
      <c r="G21" s="8">
        <f>IF($B21=0,"",$C21/$B21)</f>
        <v/>
      </c>
      <c r="H21" s="13">
        <f>IF($E21&gt;=2,"Red",IF($E21=1,"Amber","Green"))</f>
        <v/>
      </c>
    </row>
    <row r="22">
      <c r="A22" s="19" t="inlineStr">
        <is>
          <t>People &amp; Culture</t>
        </is>
      </c>
      <c r="B22" s="7">
        <f>COUNTIF('Milestone Tracker'!$A$6:$A$41,$A22)</f>
        <v/>
      </c>
      <c r="C22" s="7">
        <f>COUNTIFS('Milestone Tracker'!$A$6:$A$41,$A22,'Milestone Tracker'!$F$6:$F$41,"Complete")</f>
        <v/>
      </c>
      <c r="D22" s="7">
        <f>COUNTIFS('Milestone Tracker'!$A$6:$A$41,$A22,'Milestone Tracker'!$F$6:$F$41,"On Track")</f>
        <v/>
      </c>
      <c r="E22" s="7">
        <f>COUNTIFS('Milestone Tracker'!$A$6:$A$41,$A22,'Milestone Tracker'!$F$6:$F$41,"At Risk")</f>
        <v/>
      </c>
      <c r="F22" s="7">
        <f>COUNTIFS('Milestone Tracker'!$A$6:$A$41,$A22,'Milestone Tracker'!$F$6:$F$41,"Not Started")</f>
        <v/>
      </c>
      <c r="G22" s="8">
        <f>IF($B22=0,"",$C22/$B22)</f>
        <v/>
      </c>
      <c r="H22" s="13">
        <f>IF($E22&gt;=2,"Red",IF($E22=1,"Amber","Green"))</f>
        <v/>
      </c>
    </row>
    <row r="23">
      <c r="A23" s="19" t="inlineStr">
        <is>
          <t>Commercial &amp; Stores Rollout</t>
        </is>
      </c>
      <c r="B23" s="7">
        <f>COUNTIF('Milestone Tracker'!$A$6:$A$41,$A23)</f>
        <v/>
      </c>
      <c r="C23" s="7">
        <f>COUNTIFS('Milestone Tracker'!$A$6:$A$41,$A23,'Milestone Tracker'!$F$6:$F$41,"Complete")</f>
        <v/>
      </c>
      <c r="D23" s="7">
        <f>COUNTIFS('Milestone Tracker'!$A$6:$A$41,$A23,'Milestone Tracker'!$F$6:$F$41,"On Track")</f>
        <v/>
      </c>
      <c r="E23" s="7">
        <f>COUNTIFS('Milestone Tracker'!$A$6:$A$41,$A23,'Milestone Tracker'!$F$6:$F$41,"At Risk")</f>
        <v/>
      </c>
      <c r="F23" s="7">
        <f>COUNTIFS('Milestone Tracker'!$A$6:$A$41,$A23,'Milestone Tracker'!$F$6:$F$41,"Not Started")</f>
        <v/>
      </c>
      <c r="G23" s="8">
        <f>IF($B23=0,"",$C23/$B23)</f>
        <v/>
      </c>
      <c r="H23" s="13">
        <f>IF($E23&gt;=2,"Red",IF($E23=1,"Amber","Green"))</f>
        <v/>
      </c>
    </row>
    <row r="24">
      <c r="A24" s="19" t="inlineStr">
        <is>
          <t>Regulatory &amp; Safety</t>
        </is>
      </c>
      <c r="B24" s="7">
        <f>COUNTIF('Milestone Tracker'!$A$6:$A$41,$A24)</f>
        <v/>
      </c>
      <c r="C24" s="7">
        <f>COUNTIFS('Milestone Tracker'!$A$6:$A$41,$A24,'Milestone Tracker'!$F$6:$F$41,"Complete")</f>
        <v/>
      </c>
      <c r="D24" s="7">
        <f>COUNTIFS('Milestone Tracker'!$A$6:$A$41,$A24,'Milestone Tracker'!$F$6:$F$41,"On Track")</f>
        <v/>
      </c>
      <c r="E24" s="7">
        <f>COUNTIFS('Milestone Tracker'!$A$6:$A$41,$A24,'Milestone Tracker'!$F$6:$F$41,"At Risk")</f>
        <v/>
      </c>
      <c r="F24" s="7">
        <f>COUNTIFS('Milestone Tracker'!$A$6:$A$41,$A24,'Milestone Tracker'!$F$6:$F$41,"Not Started")</f>
        <v/>
      </c>
      <c r="G24" s="8">
        <f>IF($B24=0,"",$C24/$B24)</f>
        <v/>
      </c>
      <c r="H24" s="13">
        <f>IF($E24&gt;=2,"Red",IF($E24=1,"Amber","Green"))</f>
        <v/>
      </c>
    </row>
    <row r="25">
      <c r="A25" s="19" t="inlineStr">
        <is>
          <t>Finance &amp; Synergies</t>
        </is>
      </c>
      <c r="B25" s="7">
        <f>COUNTIF('Milestone Tracker'!$A$6:$A$41,$A25)</f>
        <v/>
      </c>
      <c r="C25" s="7">
        <f>COUNTIFS('Milestone Tracker'!$A$6:$A$41,$A25,'Milestone Tracker'!$F$6:$F$41,"Complete")</f>
        <v/>
      </c>
      <c r="D25" s="7">
        <f>COUNTIFS('Milestone Tracker'!$A$6:$A$41,$A25,'Milestone Tracker'!$F$6:$F$41,"On Track")</f>
        <v/>
      </c>
      <c r="E25" s="7">
        <f>COUNTIFS('Milestone Tracker'!$A$6:$A$41,$A25,'Milestone Tracker'!$F$6:$F$41,"At Risk")</f>
        <v/>
      </c>
      <c r="F25" s="7">
        <f>COUNTIFS('Milestone Tracker'!$A$6:$A$41,$A25,'Milestone Tracker'!$F$6:$F$41,"Not Started")</f>
        <v/>
      </c>
      <c r="G25" s="8">
        <f>IF($B25=0,"",$C25/$B25)</f>
        <v/>
      </c>
      <c r="H25" s="13">
        <f>IF($E25&gt;=2,"Red",IF($E25=1,"Amber","Green"))</f>
        <v/>
      </c>
    </row>
    <row r="26">
      <c r="A26" s="4" t="inlineStr">
        <is>
          <t>ALL WORKSTREAMS</t>
        </is>
      </c>
      <c r="B26" s="20">
        <f>SUM(B20:B25)</f>
        <v/>
      </c>
      <c r="C26" s="20">
        <f>SUM(C20:C25)</f>
        <v/>
      </c>
      <c r="D26" s="20">
        <f>SUM(D20:D25)</f>
        <v/>
      </c>
      <c r="E26" s="20">
        <f>SUM(E20:E25)</f>
        <v/>
      </c>
      <c r="F26" s="20">
        <f>SUM(F20:F25)</f>
        <v/>
      </c>
      <c r="G26" s="21">
        <f>IF($B$26=0,"",$C$26/$B$26)</f>
        <v/>
      </c>
      <c r="H26" s="22">
        <f>IF($E$26&gt;=2,"Red",IF($E$26&gt;=1,"Amber","Green"))</f>
        <v/>
      </c>
    </row>
    <row r="28">
      <c r="A28" s="4" t="inlineStr">
        <is>
          <t>3 · Integration Health Summary</t>
        </is>
      </c>
    </row>
    <row r="29" ht="30" customHeight="1">
      <c r="A29" s="5" t="inlineStr">
        <is>
          <t>Metric</t>
        </is>
      </c>
      <c r="B29" s="5" t="inlineStr">
        <is>
          <t>Value</t>
        </is>
      </c>
      <c r="C29" s="5" t="inlineStr">
        <is>
          <t>Commentary</t>
        </is>
      </c>
    </row>
    <row r="30">
      <c r="A30" s="19" t="inlineStr">
        <is>
          <t>Overall integration health</t>
        </is>
      </c>
      <c r="B30" s="23">
        <f>IF(OR('Risk Register'!$D$14&gt;0,$E$26&gt;2),"Amber",IF($G$26&gt;=0.99,"Green","Amber"))</f>
        <v/>
      </c>
      <c r="C30" s="3" t="inlineStr">
        <is>
          <t>Amber while any Red-scored risk is open or more than two milestones are at risk.</t>
        </is>
      </c>
    </row>
    <row r="31">
      <c r="A31" s="19" t="inlineStr">
        <is>
          <t>Total milestones in the 100-day plan</t>
        </is>
      </c>
      <c r="B31" s="7">
        <f>COUNTA('Milestone Tracker'!$C$6:$C$41)</f>
        <v/>
      </c>
      <c r="C31" s="3" t="inlineStr">
        <is>
          <t>Six workstream charters × three gates (Day 1 / Day 30 / Day 100).</t>
        </is>
      </c>
    </row>
    <row r="32">
      <c r="A32" s="19" t="inlineStr">
        <is>
          <t>Milestones complete</t>
        </is>
      </c>
      <c r="B32" s="7">
        <f>COUNTIF('Milestone Tracker'!$F$6:$F$41,"Complete")</f>
        <v/>
      </c>
      <c r="C32" s="3" t="inlineStr">
        <is>
          <t>All Day-1 protect-and-stabilise milestones.</t>
        </is>
      </c>
    </row>
    <row r="33">
      <c r="A33" s="19" t="inlineStr">
        <is>
          <t>Milestone completion</t>
        </is>
      </c>
      <c r="B33" s="8">
        <f>IF($B$31=0,"",$B$32/$B$31)</f>
        <v/>
      </c>
      <c r="C33" s="3" t="inlineStr">
        <is>
          <t>Complete as a share of the full plan.</t>
        </is>
      </c>
    </row>
    <row r="34">
      <c r="A34" s="19" t="inlineStr">
        <is>
          <t>Average % complete (all milestones)</t>
        </is>
      </c>
      <c r="B34" s="8">
        <f>AVERAGE('Milestone Tracker'!$G$6:$G$41)</f>
        <v/>
      </c>
      <c r="C34" s="3" t="inlineStr">
        <is>
          <t>Weighted by milestone progress rather than binary completion.</t>
        </is>
      </c>
    </row>
    <row r="35">
      <c r="A35" s="19" t="inlineStr">
        <is>
          <t>Milestones at risk</t>
        </is>
      </c>
      <c r="B35" s="7">
        <f>COUNTIF('Milestone Tracker'!$F$6:$F$41,"At Risk")</f>
        <v/>
      </c>
      <c r="C35" s="3" t="inlineStr">
        <is>
          <t>Escalated to the IMO weekly stand-up.</t>
        </is>
      </c>
    </row>
    <row r="36">
      <c r="A36" s="19" t="inlineStr">
        <is>
          <t>Day-1 gate status</t>
        </is>
      </c>
      <c r="B36" s="23">
        <f>IF(COUNTIFS('Milestone Tracker'!$B$6:$B$41,"Day 1",'Milestone Tracker'!$F$6:$F$41,"Complete")=COUNTIF('Milestone Tracker'!$B$6:$B$41,"Day 1"),"Cleared — all Day-1 milestones complete","Open items remain")</f>
        <v/>
      </c>
      <c r="C36" s="3" t="inlineStr">
        <is>
          <t>Day 1 = Protect. Certificate, people and platform arrive intact.</t>
        </is>
      </c>
    </row>
    <row r="37">
      <c r="A37" s="19" t="inlineStr">
        <is>
          <t>Open risks scored Red</t>
        </is>
      </c>
      <c r="B37" s="7">
        <f>'Risk Register'!$D$14</f>
        <v/>
      </c>
      <c r="C37" s="3" t="inlineStr">
        <is>
          <t>Score ≥15 on the 5×5 probability/impact grid.</t>
        </is>
      </c>
    </row>
    <row r="38">
      <c r="A38" s="19" t="inlineStr">
        <is>
          <t>Highest residual risk score</t>
        </is>
      </c>
      <c r="B38" s="7">
        <f>'Risk Register'!$D$16</f>
        <v/>
      </c>
      <c r="C38" s="3" t="inlineStr">
        <is>
          <t>Key-talent flight is the top-scored risk.</t>
        </is>
      </c>
    </row>
    <row r="39">
      <c r="A39" s="19" t="inlineStr">
        <is>
          <t>Recurring synergy identified ($M run-rate)</t>
        </is>
      </c>
      <c r="B39" s="33">
        <f>'Synergy Register'!$F$13</f>
        <v/>
      </c>
      <c r="C39" s="3" t="inlineStr">
        <is>
          <t>Excludes the one-time avoided-build-cost NPV advantage.</t>
        </is>
      </c>
    </row>
    <row r="40">
      <c r="A40" s="19" t="inlineStr">
        <is>
          <t>Net synergy after costs-to-achieve ($M)</t>
        </is>
      </c>
      <c r="B40" s="33">
        <f>'Synergy Register'!$I$11</f>
        <v/>
      </c>
      <c r="C40" s="3" t="inlineStr">
        <is>
          <t>All categories, annual value estimate less costs-to-achieve (retention, hub build-outs, integration engineering).</t>
        </is>
      </c>
    </row>
    <row r="41">
      <c r="A41" s="19" t="inlineStr">
        <is>
          <t>Earn-out consideration at risk ($M)</t>
        </is>
      </c>
      <c r="B41" s="33">
        <f>'Earn-Out Tracker'!$E$17</f>
        <v/>
      </c>
      <c r="C41" s="3" t="inlineStr">
        <is>
          <t>Allocated across five earn-out milestones; ties to the earn-out pool on the Assumptions tab.</t>
        </is>
      </c>
    </row>
    <row r="43">
      <c r="A43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conditionalFormatting sqref="G10:G15">
    <cfRule type="cellIs" priority="1" operator="equal" dxfId="0">
      <formula>"Green"</formula>
    </cfRule>
    <cfRule type="cellIs" priority="2" operator="equal" dxfId="1">
      <formula>"Amber"</formula>
    </cfRule>
    <cfRule type="cellIs" priority="3" operator="equal" dxfId="2">
      <formula>"Red"</formula>
    </cfRule>
  </conditionalFormatting>
  <conditionalFormatting sqref="H20:H26">
    <cfRule type="cellIs" priority="4" operator="equal" dxfId="0">
      <formula>"Green"</formula>
    </cfRule>
    <cfRule type="cellIs" priority="5" operator="equal" dxfId="1">
      <formula>"Amber"</formula>
    </cfRule>
    <cfRule type="cellIs" priority="6" operator="equal" dxfId="2">
      <formula>"Red"</formula>
    </cfRule>
  </conditionalFormatting>
  <conditionalFormatting sqref="B30">
    <cfRule type="cellIs" priority="7" operator="equal" dxfId="0">
      <formula>"Green"</formula>
    </cfRule>
    <cfRule type="cellIs" priority="8" operator="equal" dxfId="1">
      <formula>"Amber"</formula>
    </cfRule>
    <cfRule type="cellIs" priority="9" operator="equal" dxfId="2">
      <formula>"Red"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62" customWidth="1" min="3" max="3"/>
    <col width="34" customWidth="1" min="4" max="4"/>
    <col width="13" customWidth="1" min="5" max="5"/>
    <col width="14" customWidth="1" min="6" max="6"/>
    <col width="12" customWidth="1" min="7" max="7"/>
    <col width="46" customWidth="1" min="8" max="8"/>
  </cols>
  <sheetData>
    <row r="1">
      <c r="A1" s="2" t="inlineStr">
        <is>
          <t>Milestone Tracker — 100-Day Integration Plan</t>
        </is>
      </c>
    </row>
    <row r="2">
      <c r="A2" s="3" t="inlineStr">
        <is>
          <t>Master plan across the six workstream charters (plan §4). Due dates are formulas keyed to the Close Date on the Assumptions tab — they re-flow automatically if close moves.</t>
        </is>
      </c>
    </row>
    <row r="3">
      <c r="A3" s="19" t="inlineStr">
        <is>
          <t>Close Date (Day 1):</t>
        </is>
      </c>
      <c r="B3" s="6">
        <f>Assumptions!$B$6</f>
        <v/>
      </c>
      <c r="C3" s="19" t="inlineStr">
        <is>
          <t>Day 30 Gate:</t>
        </is>
      </c>
      <c r="D3" s="6">
        <f>Assumptions!$B$7</f>
        <v/>
      </c>
      <c r="E3" s="19" t="inlineStr">
        <is>
          <t>Day 100 Gate:</t>
        </is>
      </c>
      <c r="F3" s="6">
        <f>Assumptions!$B$8</f>
        <v/>
      </c>
    </row>
    <row r="5" ht="30" customHeight="1">
      <c r="A5" s="5" t="inlineStr">
        <is>
          <t>Workstream</t>
        </is>
      </c>
      <c r="B5" s="5" t="inlineStr">
        <is>
          <t>Gate</t>
        </is>
      </c>
      <c r="C5" s="5" t="inlineStr">
        <is>
          <t>Milestone</t>
        </is>
      </c>
      <c r="D5" s="5" t="inlineStr">
        <is>
          <t>Owner</t>
        </is>
      </c>
      <c r="E5" s="5" t="inlineStr">
        <is>
          <t>Due Date</t>
        </is>
      </c>
      <c r="F5" s="5" t="inlineStr">
        <is>
          <t>Status</t>
        </is>
      </c>
      <c r="G5" s="5" t="inlineStr">
        <is>
          <t>% Complete</t>
        </is>
      </c>
      <c r="H5" s="5" t="inlineStr">
        <is>
          <t>Notes</t>
        </is>
      </c>
    </row>
    <row r="6" ht="30" customHeight="1">
      <c r="A6" t="inlineStr">
        <is>
          <t>Flight Operations</t>
        </is>
      </c>
      <c r="B6" s="14" t="inlineStr">
        <is>
          <t>Day 1</t>
        </is>
      </c>
      <c r="C6" s="10" t="inlineStr">
        <is>
          <t>DFW Part 135 delivery operations fly without interruption through close week</t>
        </is>
      </c>
      <c r="D6" s="10" t="inlineStr">
        <is>
          <t>DroneUp COO / Walmart VP Last-Mile Delivery</t>
        </is>
      </c>
      <c r="E6" s="6">
        <f>IF($B6="Day 1",Assumptions!$B$6,IF($B6="Day 30",Assumptions!$B$7,Assumptions!$B$8))</f>
        <v/>
      </c>
      <c r="F6" s="14" t="inlineStr">
        <is>
          <t>Complete</t>
        </is>
      </c>
      <c r="G6" s="8" t="n">
        <v>1</v>
      </c>
      <c r="H6" s="10" t="inlineStr">
        <is>
          <t>Gate criterion: protect. No planned schedule interruption.</t>
        </is>
      </c>
    </row>
    <row r="7" ht="30" customHeight="1">
      <c r="A7" t="inlineStr">
        <is>
          <t>Flight Operations</t>
        </is>
      </c>
      <c r="B7" s="14" t="inlineStr">
        <is>
          <t>Day 1</t>
        </is>
      </c>
      <c r="C7" s="10" t="inlineStr">
        <is>
          <t>Crew schedules, maintenance program, spares inventory and dispatch procedures verified unchanged</t>
        </is>
      </c>
      <c r="D7" s="10" t="inlineStr">
        <is>
          <t>DroneUp COO / Walmart VP Last-Mile Delivery</t>
        </is>
      </c>
      <c r="E7" s="6">
        <f>IF($B7="Day 1",Assumptions!$B$6,IF($B7="Day 30",Assumptions!$B$7,Assumptions!$B$8))</f>
        <v/>
      </c>
      <c r="F7" s="14" t="inlineStr">
        <is>
          <t>Complete</t>
        </is>
      </c>
      <c r="G7" s="8" t="n">
        <v>1</v>
      </c>
      <c r="H7" s="10" t="inlineStr">
        <is>
          <t>Day-1 readiness checklist — flight operations &amp; safety.</t>
        </is>
      </c>
    </row>
    <row r="8" ht="30" customHeight="1">
      <c r="A8" t="inlineStr">
        <is>
          <t>Flight Operations</t>
        </is>
      </c>
      <c r="B8" s="14" t="inlineStr">
        <is>
          <t>Day 30</t>
        </is>
      </c>
      <c r="C8" s="10" t="inlineStr">
        <is>
          <t>Full operational audit complete (fleet condition, spares, hub readiness)</t>
        </is>
      </c>
      <c r="D8" s="10" t="inlineStr">
        <is>
          <t>DroneUp COO / Walmart VP Last-Mile Delivery</t>
        </is>
      </c>
      <c r="E8" s="6">
        <f>IF($B8="Day 1",Assumptions!$B$6,IF($B8="Day 30",Assumptions!$B$7,Assumptions!$B$8))</f>
        <v/>
      </c>
      <c r="F8" s="14" t="inlineStr">
        <is>
          <t>On Track</t>
        </is>
      </c>
      <c r="G8" s="8" t="n">
        <v>0.6</v>
      </c>
      <c r="H8" s="10" t="inlineStr">
        <is>
          <t>Feeds the Day-30 board gate: nothing unknown.</t>
        </is>
      </c>
    </row>
    <row r="9" ht="30" customHeight="1">
      <c r="A9" t="inlineStr">
        <is>
          <t>Flight Operations</t>
        </is>
      </c>
      <c r="B9" s="14" t="inlineStr">
        <is>
          <t>Day 30</t>
        </is>
      </c>
      <c r="C9" s="10" t="inlineStr">
        <is>
          <t>M:N multi-drone operations roadmap approved by Steering Committee</t>
        </is>
      </c>
      <c r="D9" s="10" t="inlineStr">
        <is>
          <t>DroneUp COO / Walmart VP Last-Mile Delivery</t>
        </is>
      </c>
      <c r="E9" s="6">
        <f>IF($B9="Day 1",Assumptions!$B$6,IF($B9="Day 30",Assumptions!$B$7,Assumptions!$B$8))</f>
        <v/>
      </c>
      <c r="F9" s="14" t="inlineStr">
        <is>
          <t>On Track</t>
        </is>
      </c>
      <c r="G9" s="8" t="n">
        <v>0.5</v>
      </c>
      <c r="H9" s="10" t="inlineStr">
        <is>
          <t>Pre-condition for the Day-100 M:N pilot.</t>
        </is>
      </c>
    </row>
    <row r="10" ht="30" customHeight="1">
      <c r="A10" t="inlineStr">
        <is>
          <t>Flight Operations</t>
        </is>
      </c>
      <c r="B10" s="14" t="inlineStr">
        <is>
          <t>Day 100</t>
        </is>
      </c>
      <c r="C10" s="10" t="inlineStr">
        <is>
          <t>M:N pilot live in DFW (one operator supervising multiple aircraft)</t>
        </is>
      </c>
      <c r="D10" s="10" t="inlineStr">
        <is>
          <t>DroneUp COO / Walmart VP Last-Mile Delivery</t>
        </is>
      </c>
      <c r="E10" s="6">
        <f>IF($B10="Day 1",Assumptions!$B$6,IF($B10="Day 30",Assumptions!$B$7,Assumptions!$B$8))</f>
        <v/>
      </c>
      <c r="F10" s="14" t="inlineStr">
        <is>
          <t>Not Started</t>
        </is>
      </c>
      <c r="G10" s="8" t="n">
        <v>0</v>
      </c>
      <c r="H10" s="10" t="inlineStr">
        <is>
          <t>Earn-out linked: drives cost-per-delivery glidepath.</t>
        </is>
      </c>
    </row>
    <row r="11" ht="30" customHeight="1">
      <c r="A11" t="inlineStr">
        <is>
          <t>Flight Operations</t>
        </is>
      </c>
      <c r="B11" s="14" t="inlineStr">
        <is>
          <t>Day 100</t>
        </is>
      </c>
      <c r="C11" s="10" t="inlineStr">
        <is>
          <t>Validated cost-per-delivery baseline and reduction glidepath published</t>
        </is>
      </c>
      <c r="D11" s="10" t="inlineStr">
        <is>
          <t>DroneUp COO / Walmart VP Last-Mile Delivery</t>
        </is>
      </c>
      <c r="E11" s="6">
        <f>IF($B11="Day 1",Assumptions!$B$6,IF($B11="Day 30",Assumptions!$B$7,Assumptions!$B$8))</f>
        <v/>
      </c>
      <c r="F11" s="14" t="inlineStr">
        <is>
          <t>Not Started</t>
        </is>
      </c>
      <c r="G11" s="8" t="n">
        <v>0</v>
      </c>
      <c r="H11" s="10" t="inlineStr">
        <is>
          <t>Validates the $30 baseline and sub-$10 trajectory.</t>
        </is>
      </c>
    </row>
    <row r="12" ht="30" customHeight="1">
      <c r="A12" t="inlineStr">
        <is>
          <t>Technology &amp; UTM</t>
        </is>
      </c>
      <c r="B12" s="14" t="inlineStr">
        <is>
          <t>Day 1</t>
        </is>
      </c>
      <c r="C12" s="10" t="inlineStr">
        <is>
          <t>ATOMx, Uncrew and AirMap-derived codebases ring-fenced; access controls verified</t>
        </is>
      </c>
      <c r="D12" s="10" t="inlineStr">
        <is>
          <t>DroneUp CTO / Walmart Global Tech Supply-Chain Architecture Lead</t>
        </is>
      </c>
      <c r="E12" s="6">
        <f>IF($B12="Day 1",Assumptions!$B$6,IF($B12="Day 30",Assumptions!$B$7,Assumptions!$B$8))</f>
        <v/>
      </c>
      <c r="F12" s="14" t="inlineStr">
        <is>
          <t>Complete</t>
        </is>
      </c>
      <c r="G12" s="8" t="n">
        <v>1</v>
      </c>
      <c r="H12" s="10" t="inlineStr">
        <is>
          <t>No re-platforming decisions at Day 1.</t>
        </is>
      </c>
    </row>
    <row r="13" ht="30" customHeight="1">
      <c r="A13" t="inlineStr">
        <is>
          <t>Technology &amp; UTM</t>
        </is>
      </c>
      <c r="B13" s="14" t="inlineStr">
        <is>
          <t>Day 1</t>
        </is>
      </c>
      <c r="C13" s="10" t="inlineStr">
        <is>
          <t>IP escrow verified; no system migrations or credential changes scheduled for first 30 days</t>
        </is>
      </c>
      <c r="D13" s="10" t="inlineStr">
        <is>
          <t>DroneUp CTO / Walmart Global Tech Supply-Chain Architecture Lead</t>
        </is>
      </c>
      <c r="E13" s="6">
        <f>IF($B13="Day 1",Assumptions!$B$6,IF($B13="Day 30",Assumptions!$B$7,Assumptions!$B$8))</f>
        <v/>
      </c>
      <c r="F13" s="14" t="inlineStr">
        <is>
          <t>Complete</t>
        </is>
      </c>
      <c r="G13" s="8" t="n">
        <v>1</v>
      </c>
      <c r="H13" s="10" t="inlineStr">
        <is>
          <t>Day-1 readiness checklist — technology.</t>
        </is>
      </c>
    </row>
    <row r="14" ht="30" customHeight="1">
      <c r="A14" t="inlineStr">
        <is>
          <t>Technology &amp; UTM</t>
        </is>
      </c>
      <c r="B14" s="14" t="inlineStr">
        <is>
          <t>Day 30</t>
        </is>
      </c>
      <c r="C14" s="10" t="inlineStr">
        <is>
          <t>Target integration architecture signed (store systems, order management, orchestration interfaces)</t>
        </is>
      </c>
      <c r="D14" s="10" t="inlineStr">
        <is>
          <t>DroneUp CTO / Walmart Global Tech Supply-Chain Architecture Lead</t>
        </is>
      </c>
      <c r="E14" s="6">
        <f>IF($B14="Day 1",Assumptions!$B$6,IF($B14="Day 30",Assumptions!$B$7,Assumptions!$B$8))</f>
        <v/>
      </c>
      <c r="F14" s="14" t="inlineStr">
        <is>
          <t>On Track</t>
        </is>
      </c>
      <c r="G14" s="8" t="n">
        <v>0.55</v>
      </c>
      <c r="H14" s="10" t="inlineStr">
        <is>
          <t>Integrate at the edges, preserve the platform.</t>
        </is>
      </c>
    </row>
    <row r="15" ht="30" customHeight="1">
      <c r="A15" t="inlineStr">
        <is>
          <t>Technology &amp; UTM</t>
        </is>
      </c>
      <c r="B15" s="14" t="inlineStr">
        <is>
          <t>Day 30</t>
        </is>
      </c>
      <c r="C15" s="10" t="inlineStr">
        <is>
          <t>Walmart store-systems API specification frozen</t>
        </is>
      </c>
      <c r="D15" s="10" t="inlineStr">
        <is>
          <t>DroneUp CTO / Walmart Global Tech Supply-Chain Architecture Lead</t>
        </is>
      </c>
      <c r="E15" s="6">
        <f>IF($B15="Day 1",Assumptions!$B$6,IF($B15="Day 30",Assumptions!$B$7,Assumptions!$B$8))</f>
        <v/>
      </c>
      <c r="F15" s="14" t="inlineStr">
        <is>
          <t>On Track</t>
        </is>
      </c>
      <c r="G15" s="8" t="n">
        <v>0.45</v>
      </c>
      <c r="H15" s="10" t="inlineStr">
        <is>
          <t>Spec freeze gates build work for the Day-100 pilot.</t>
        </is>
      </c>
    </row>
    <row r="16" ht="30" customHeight="1">
      <c r="A16" t="inlineStr">
        <is>
          <t>Technology &amp; UTM</t>
        </is>
      </c>
      <c r="B16" s="14" t="inlineStr">
        <is>
          <t>Day 100</t>
        </is>
      </c>
      <c r="C16" s="10" t="inlineStr">
        <is>
          <t>ATOMx orchestration pilot coordinating DroneUp, Wing and Zipline flights at two test sites</t>
        </is>
      </c>
      <c r="D16" s="10" t="inlineStr">
        <is>
          <t>DroneUp CTO / Walmart Global Tech Supply-Chain Architecture Lead</t>
        </is>
      </c>
      <c r="E16" s="6">
        <f>IF($B16="Day 1",Assumptions!$B$6,IF($B16="Day 30",Assumptions!$B$7,Assumptions!$B$8))</f>
        <v/>
      </c>
      <c r="F16" s="14" t="inlineStr">
        <is>
          <t>Not Started</t>
        </is>
      </c>
      <c r="G16" s="8" t="n">
        <v>0</v>
      </c>
      <c r="H16" s="10" t="inlineStr">
        <is>
          <t>Earn-out linked: ATOMx integrated with Wing/Zipline ops.</t>
        </is>
      </c>
    </row>
    <row r="17" ht="30" customHeight="1">
      <c r="A17" t="inlineStr">
        <is>
          <t>Technology &amp; UTM</t>
        </is>
      </c>
      <c r="B17" s="14" t="inlineStr">
        <is>
          <t>Day 100</t>
        </is>
      </c>
      <c r="C17" s="10" t="inlineStr">
        <is>
          <t>Platform uptime ≥99.5% sustained; API integration milestones on schedule</t>
        </is>
      </c>
      <c r="D17" s="10" t="inlineStr">
        <is>
          <t>DroneUp CTO / Walmart Global Tech Supply-Chain Architecture Lead</t>
        </is>
      </c>
      <c r="E17" s="6">
        <f>IF($B17="Day 1",Assumptions!$B$6,IF($B17="Day 30",Assumptions!$B$7,Assumptions!$B$8))</f>
        <v/>
      </c>
      <c r="F17" s="14" t="inlineStr">
        <is>
          <t>Not Started</t>
        </is>
      </c>
      <c r="G17" s="8" t="n">
        <v>0</v>
      </c>
      <c r="H17" s="10" t="inlineStr">
        <is>
          <t>Workstream KPI per charter §4.2.</t>
        </is>
      </c>
    </row>
    <row r="18" ht="30" customHeight="1">
      <c r="A18" t="inlineStr">
        <is>
          <t>People &amp; Culture</t>
        </is>
      </c>
      <c r="B18" s="14" t="inlineStr">
        <is>
          <t>Day 1</t>
        </is>
      </c>
      <c r="C18" s="10" t="inlineStr">
        <is>
          <t>Retention agreements executed for top ~25 regulatory- and engineering-critical staff</t>
        </is>
      </c>
      <c r="D18" s="10" t="inlineStr">
        <is>
          <t>Walmart People Lead (M&amp;A) / DroneUp Head of HR</t>
        </is>
      </c>
      <c r="E18" s="6">
        <f>IF($B18="Day 1",Assumptions!$B$6,IF($B18="Day 30",Assumptions!$B$7,Assumptions!$B$8))</f>
        <v/>
      </c>
      <c r="F18" s="14" t="inlineStr">
        <is>
          <t>Complete</t>
        </is>
      </c>
      <c r="G18" s="8" t="n">
        <v>1</v>
      </c>
      <c r="H18" s="10" t="inlineStr">
        <is>
          <t>2–3 year vesting; signed at close, not after.</t>
        </is>
      </c>
    </row>
    <row r="19" ht="30" customHeight="1">
      <c r="A19" t="inlineStr">
        <is>
          <t>People &amp; Culture</t>
        </is>
      </c>
      <c r="B19" s="14" t="inlineStr">
        <is>
          <t>Day 1</t>
        </is>
      </c>
      <c r="C19" s="10" t="inlineStr">
        <is>
          <t>Day-1 all-hands held (DroneUp CEO + Walmart CSCO); FAQ live for ~291 employees; benefits continuity confirmed</t>
        </is>
      </c>
      <c r="D19" s="10" t="inlineStr">
        <is>
          <t>Walmart People Lead (M&amp;A) / DroneUp Head of HR</t>
        </is>
      </c>
      <c r="E19" s="6">
        <f>IF($B19="Day 1",Assumptions!$B$6,IF($B19="Day 30",Assumptions!$B$7,Assumptions!$B$8))</f>
        <v/>
      </c>
      <c r="F19" s="14" t="inlineStr">
        <is>
          <t>Complete</t>
        </is>
      </c>
      <c r="G19" s="8" t="n">
        <v>1</v>
      </c>
      <c r="H19" s="10" t="inlineStr">
        <is>
          <t>No-surprise commitments on comp and benefits.</t>
        </is>
      </c>
    </row>
    <row r="20" ht="30" customHeight="1">
      <c r="A20" t="inlineStr">
        <is>
          <t>People &amp; Culture</t>
        </is>
      </c>
      <c r="B20" s="14" t="inlineStr">
        <is>
          <t>Day 30</t>
        </is>
      </c>
      <c r="C20" s="10" t="inlineStr">
        <is>
          <t>Subsidiary organisation design confirmed; ≥90% offer acceptance on retention packages</t>
        </is>
      </c>
      <c r="D20" s="10" t="inlineStr">
        <is>
          <t>Walmart People Lead (M&amp;A) / DroneUp Head of HR</t>
        </is>
      </c>
      <c r="E20" s="6">
        <f>IF($B20="Day 1",Assumptions!$B$6,IF($B20="Day 30",Assumptions!$B$7,Assumptions!$B$8))</f>
        <v/>
      </c>
      <c r="F20" s="14" t="inlineStr">
        <is>
          <t>On Track</t>
        </is>
      </c>
      <c r="G20" s="8" t="n">
        <v>0.6</v>
      </c>
      <c r="H20" s="10" t="inlineStr">
        <is>
          <t>Subsidiary model preserves speed and safety culture.</t>
        </is>
      </c>
    </row>
    <row r="21" ht="30" customHeight="1">
      <c r="A21" t="inlineStr">
        <is>
          <t>People &amp; Culture</t>
        </is>
      </c>
      <c r="B21" s="14" t="inlineStr">
        <is>
          <t>Day 30</t>
        </is>
      </c>
      <c r="C21" s="10" t="inlineStr">
        <is>
          <t>Attrition watchlist and stay-interview program running</t>
        </is>
      </c>
      <c r="D21" s="10" t="inlineStr">
        <is>
          <t>Walmart People Lead (M&amp;A) / DroneUp Head of HR</t>
        </is>
      </c>
      <c r="E21" s="6">
        <f>IF($B21="Day 1",Assumptions!$B$6,IF($B21="Day 30",Assumptions!$B$7,Assumptions!$B$8))</f>
        <v/>
      </c>
      <c r="F21" s="14" t="inlineStr">
        <is>
          <t>On Track</t>
        </is>
      </c>
      <c r="G21" s="8" t="n">
        <v>0.5</v>
      </c>
      <c r="H21" s="10" t="inlineStr">
        <is>
          <t>Weekly IMO review of the watchlist.</t>
        </is>
      </c>
    </row>
    <row r="22" ht="30" customHeight="1">
      <c r="A22" t="inlineStr">
        <is>
          <t>People &amp; Culture</t>
        </is>
      </c>
      <c r="B22" s="14" t="inlineStr">
        <is>
          <t>Day 100</t>
        </is>
      </c>
      <c r="C22" s="10" t="inlineStr">
        <is>
          <t>Key-talent retention ≥90% achieved</t>
        </is>
      </c>
      <c r="D22" s="10" t="inlineStr">
        <is>
          <t>Walmart People Lead (M&amp;A) / DroneUp Head of HR</t>
        </is>
      </c>
      <c r="E22" s="6">
        <f>IF($B22="Day 1",Assumptions!$B$6,IF($B22="Day 30",Assumptions!$B$7,Assumptions!$B$8))</f>
        <v/>
      </c>
      <c r="F22" s="14" t="inlineStr">
        <is>
          <t>Not Started</t>
        </is>
      </c>
      <c r="G22" s="8" t="n">
        <v>0</v>
      </c>
      <c r="H22" s="10" t="inlineStr">
        <is>
          <t>Earn-out linked: key-personnel retention.</t>
        </is>
      </c>
    </row>
    <row r="23" ht="30" customHeight="1">
      <c r="A23" t="inlineStr">
        <is>
          <t>People &amp; Culture</t>
        </is>
      </c>
      <c r="B23" s="14" t="inlineStr">
        <is>
          <t>Day 100</t>
        </is>
      </c>
      <c r="C23" s="10" t="inlineStr">
        <is>
          <t>Performance and incentive framework aligned to earn-out milestones</t>
        </is>
      </c>
      <c r="D23" s="10" t="inlineStr">
        <is>
          <t>Walmart People Lead (M&amp;A) / DroneUp Head of HR</t>
        </is>
      </c>
      <c r="E23" s="6">
        <f>IF($B23="Day 1",Assumptions!$B$6,IF($B23="Day 30",Assumptions!$B$7,Assumptions!$B$8))</f>
        <v/>
      </c>
      <c r="F23" s="14" t="inlineStr">
        <is>
          <t>Not Started</t>
        </is>
      </c>
      <c r="G23" s="8" t="n">
        <v>0</v>
      </c>
      <c r="H23" s="10" t="inlineStr">
        <is>
          <t>Ties individual economics to deal economics.</t>
        </is>
      </c>
    </row>
    <row r="24" ht="30" customHeight="1">
      <c r="A24" t="inlineStr">
        <is>
          <t>Commercial &amp; Stores Rollout</t>
        </is>
      </c>
      <c r="B24" s="14" t="inlineStr">
        <is>
          <t>Day 1</t>
        </is>
      </c>
      <c r="C24" s="10" t="inlineStr">
        <is>
          <t>DFW customer experience unchanged; store-operations liaison named for each active hub</t>
        </is>
      </c>
      <c r="D24" s="10" t="inlineStr">
        <is>
          <t>Walmart SVP Store Operations (Delivery) / DroneUp VP Operations</t>
        </is>
      </c>
      <c r="E24" s="6">
        <f>IF($B24="Day 1",Assumptions!$B$6,IF($B24="Day 30",Assumptions!$B$7,Assumptions!$B$8))</f>
        <v/>
      </c>
      <c r="F24" s="14" t="inlineStr">
        <is>
          <t>Complete</t>
        </is>
      </c>
      <c r="G24" s="8" t="n">
        <v>1</v>
      </c>
      <c r="H24" s="10" t="inlineStr">
        <is>
          <t>Continuity first — no customer-visible change.</t>
        </is>
      </c>
    </row>
    <row r="25" ht="30" customHeight="1">
      <c r="A25" t="inlineStr">
        <is>
          <t>Commercial &amp; Stores Rollout</t>
        </is>
      </c>
      <c r="B25" s="14" t="inlineStr">
        <is>
          <t>Day 1</t>
        </is>
      </c>
      <c r="C25" s="10" t="inlineStr">
        <is>
          <t>External announcement coordinated: press release, customer notice, partner notifications</t>
        </is>
      </c>
      <c r="D25" s="10" t="inlineStr">
        <is>
          <t>Walmart SVP Store Operations (Delivery) / DroneUp VP Operations</t>
        </is>
      </c>
      <c r="E25" s="6">
        <f>IF($B25="Day 1",Assumptions!$B$6,IF($B25="Day 30",Assumptions!$B$7,Assumptions!$B$8))</f>
        <v/>
      </c>
      <c r="F25" s="14" t="inlineStr">
        <is>
          <t>Complete</t>
        </is>
      </c>
      <c r="G25" s="8" t="n">
        <v>1</v>
      </c>
      <c r="H25" s="10" t="inlineStr">
        <is>
          <t>Day-1 readiness checklist — people &amp; communications.</t>
        </is>
      </c>
    </row>
    <row r="26" ht="30" customHeight="1">
      <c r="A26" t="inlineStr">
        <is>
          <t>Commercial &amp; Stores Rollout</t>
        </is>
      </c>
      <c r="B26" s="14" t="inlineStr">
        <is>
          <t>Day 30</t>
        </is>
      </c>
      <c r="C26" s="10" t="inlineStr">
        <is>
          <t>Store-selection criteria approved (density, airspace, demand history from the 36-hub archive)</t>
        </is>
      </c>
      <c r="D26" s="10" t="inlineStr">
        <is>
          <t>Walmart SVP Store Operations (Delivery) / DroneUp VP Operations</t>
        </is>
      </c>
      <c r="E26" s="6">
        <f>IF($B26="Day 1",Assumptions!$B$6,IF($B26="Day 30",Assumptions!$B$7,Assumptions!$B$8))</f>
        <v/>
      </c>
      <c r="F26" s="14" t="inlineStr">
        <is>
          <t>On Track</t>
        </is>
      </c>
      <c r="G26" s="8" t="n">
        <v>0.5</v>
      </c>
      <c r="H26" s="10" t="inlineStr">
        <is>
          <t>Evidence-based site selection.</t>
        </is>
      </c>
    </row>
    <row r="27" ht="30" customHeight="1">
      <c r="A27" t="inlineStr">
        <is>
          <t>Commercial &amp; Stores Rollout</t>
        </is>
      </c>
      <c r="B27" s="14" t="inlineStr">
        <is>
          <t>Day 30</t>
        </is>
      </c>
      <c r="C27" s="10" t="inlineStr">
        <is>
          <t>25-site expansion shortlist ratified by Steering Committee</t>
        </is>
      </c>
      <c r="D27" s="10" t="inlineStr">
        <is>
          <t>Walmart SVP Store Operations (Delivery) / DroneUp VP Operations</t>
        </is>
      </c>
      <c r="E27" s="6">
        <f>IF($B27="Day 1",Assumptions!$B$6,IF($B27="Day 30",Assumptions!$B$7,Assumptions!$B$8))</f>
        <v/>
      </c>
      <c r="F27" s="14" t="inlineStr">
        <is>
          <t>On Track</t>
        </is>
      </c>
      <c r="G27" s="8" t="n">
        <v>0.4</v>
      </c>
      <c r="H27" s="10" t="inlineStr">
        <is>
          <t>Board approval required to go beyond the shortlist.</t>
        </is>
      </c>
    </row>
    <row r="28" ht="30" customHeight="1">
      <c r="A28" t="inlineStr">
        <is>
          <t>Commercial &amp; Stores Rollout</t>
        </is>
      </c>
      <c r="B28" s="14" t="inlineStr">
        <is>
          <t>Day 100</t>
        </is>
      </c>
      <c r="C28" s="10" t="inlineStr">
        <is>
          <t>First 5 new supercenter hubs in physical build-out</t>
        </is>
      </c>
      <c r="D28" s="10" t="inlineStr">
        <is>
          <t>Walmart SVP Store Operations (Delivery) / DroneUp VP Operations</t>
        </is>
      </c>
      <c r="E28" s="6">
        <f>IF($B28="Day 1",Assumptions!$B$6,IF($B28="Day 30",Assumptions!$B$7,Assumptions!$B$8))</f>
        <v/>
      </c>
      <c r="F28" s="14" t="inlineStr">
        <is>
          <t>Not Started</t>
        </is>
      </c>
      <c r="G28" s="8" t="n">
        <v>0</v>
      </c>
      <c r="H28" s="10" t="inlineStr">
        <is>
          <t>Earn-out linked: path to 50+ locations by Month 36.</t>
        </is>
      </c>
    </row>
    <row r="29" ht="30" customHeight="1">
      <c r="A29" t="inlineStr">
        <is>
          <t>Commercial &amp; Stores Rollout</t>
        </is>
      </c>
      <c r="B29" s="14" t="inlineStr">
        <is>
          <t>Day 100</t>
        </is>
      </c>
      <c r="C29" s="10" t="inlineStr">
        <is>
          <t>DBX autonomous locker pilot live at 2 stores</t>
        </is>
      </c>
      <c r="D29" s="10" t="inlineStr">
        <is>
          <t>Walmart SVP Store Operations (Delivery) / DroneUp VP Operations</t>
        </is>
      </c>
      <c r="E29" s="6">
        <f>IF($B29="Day 1",Assumptions!$B$6,IF($B29="Day 30",Assumptions!$B$7,Assumptions!$B$8))</f>
        <v/>
      </c>
      <c r="F29" s="14" t="inlineStr">
        <is>
          <t>Not Started</t>
        </is>
      </c>
      <c r="G29" s="8" t="n">
        <v>0</v>
      </c>
      <c r="H29" s="10" t="inlineStr">
        <is>
          <t>Automation lever in the delivery-cost synergy.</t>
        </is>
      </c>
    </row>
    <row r="30" ht="30" customHeight="1">
      <c r="A30" t="inlineStr">
        <is>
          <t>Regulatory &amp; Safety</t>
        </is>
      </c>
      <c r="B30" s="14" t="inlineStr">
        <is>
          <t>Day 1</t>
        </is>
      </c>
      <c r="C30" s="10" t="inlineStr">
        <is>
          <t>FAA notified of change of ownership; certificate-holding entity and named management personnel unchanged</t>
        </is>
      </c>
      <c r="D30" s="10" t="inlineStr">
        <is>
          <t>DroneUp Chief Pilot (Accountable Executive) / Walmart Chief Counsel – Aviation</t>
        </is>
      </c>
      <c r="E30" s="6">
        <f>IF($B30="Day 1",Assumptions!$B$6,IF($B30="Day 30",Assumptions!$B$7,Assumptions!$B$8))</f>
        <v/>
      </c>
      <c r="F30" s="14" t="inlineStr">
        <is>
          <t>Complete</t>
        </is>
      </c>
      <c r="G30" s="8" t="n">
        <v>1</v>
      </c>
      <c r="H30" s="10" t="inlineStr">
        <is>
          <t>Certificate and its people are one asset.</t>
        </is>
      </c>
    </row>
    <row r="31" ht="30" customHeight="1">
      <c r="A31" t="inlineStr">
        <is>
          <t>Regulatory &amp; Safety</t>
        </is>
      </c>
      <c r="B31" s="14" t="inlineStr">
        <is>
          <t>Day 1</t>
        </is>
      </c>
      <c r="C31" s="10" t="inlineStr">
        <is>
          <t>SMS and manuals unchanged; single FAA point of contact named and regulatory counsel briefed</t>
        </is>
      </c>
      <c r="D31" s="10" t="inlineStr">
        <is>
          <t>DroneUp Chief Pilot (Accountable Executive) / Walmart Chief Counsel – Aviation</t>
        </is>
      </c>
      <c r="E31" s="6">
        <f>IF($B31="Day 1",Assumptions!$B$6,IF($B31="Day 30",Assumptions!$B$7,Assumptions!$B$8))</f>
        <v/>
      </c>
      <c r="F31" s="14" t="inlineStr">
        <is>
          <t>Complete</t>
        </is>
      </c>
      <c r="G31" s="8" t="n">
        <v>1</v>
      </c>
      <c r="H31" s="10" t="inlineStr">
        <is>
          <t>Any certificate matter escalates immediately, no queue.</t>
        </is>
      </c>
    </row>
    <row r="32" ht="30" customHeight="1">
      <c r="A32" t="inlineStr">
        <is>
          <t>Regulatory &amp; Safety</t>
        </is>
      </c>
      <c r="B32" s="14" t="inlineStr">
        <is>
          <t>Day 30</t>
        </is>
      </c>
      <c r="C32" s="10" t="inlineStr">
        <is>
          <t>Certificate transition plan accepted by the FAA</t>
        </is>
      </c>
      <c r="D32" s="10" t="inlineStr">
        <is>
          <t>DroneUp Chief Pilot (Accountable Executive) / Walmart Chief Counsel – Aviation</t>
        </is>
      </c>
      <c r="E32" s="6">
        <f>IF($B32="Day 1",Assumptions!$B$6,IF($B32="Day 30",Assumptions!$B$7,Assumptions!$B$8))</f>
        <v/>
      </c>
      <c r="F32" s="14" t="inlineStr">
        <is>
          <t>On Track</t>
        </is>
      </c>
      <c r="G32" s="8" t="n">
        <v>0.65</v>
      </c>
      <c r="H32" s="10" t="inlineStr">
        <is>
          <t>Day-30 gate criterion for this workstream.</t>
        </is>
      </c>
    </row>
    <row r="33" ht="30" customHeight="1">
      <c r="A33" t="inlineStr">
        <is>
          <t>Regulatory &amp; Safety</t>
        </is>
      </c>
      <c r="B33" s="14" t="inlineStr">
        <is>
          <t>Day 30</t>
        </is>
      </c>
      <c r="C33" s="10" t="inlineStr">
        <is>
          <t>Complete inventory of waivers, exemptions and expiry dates (incl. BVLOS authorisations)</t>
        </is>
      </c>
      <c r="D33" s="10" t="inlineStr">
        <is>
          <t>DroneUp Chief Pilot (Accountable Executive) / Walmart Chief Counsel – Aviation</t>
        </is>
      </c>
      <c r="E33" s="6">
        <f>IF($B33="Day 1",Assumptions!$B$6,IF($B33="Day 30",Assumptions!$B$7,Assumptions!$B$8))</f>
        <v/>
      </c>
      <c r="F33" s="14" t="inlineStr">
        <is>
          <t>On Track</t>
        </is>
      </c>
      <c r="G33" s="8" t="n">
        <v>0.55</v>
      </c>
      <c r="H33" s="10" t="inlineStr">
        <is>
          <t>No authorisation may lapse.</t>
        </is>
      </c>
    </row>
    <row r="34" ht="30" customHeight="1">
      <c r="A34" t="inlineStr">
        <is>
          <t>Regulatory &amp; Safety</t>
        </is>
      </c>
      <c r="B34" s="14" t="inlineStr">
        <is>
          <t>Day 100</t>
        </is>
      </c>
      <c r="C34" s="10" t="inlineStr">
        <is>
          <t>Part 108 BVLOS readiness package prepared ahead of final rulemaking</t>
        </is>
      </c>
      <c r="D34" s="10" t="inlineStr">
        <is>
          <t>DroneUp Chief Pilot (Accountable Executive) / Walmart Chief Counsel – Aviation</t>
        </is>
      </c>
      <c r="E34" s="6">
        <f>IF($B34="Day 1",Assumptions!$B$6,IF($B34="Day 30",Assumptions!$B$7,Assumptions!$B$8))</f>
        <v/>
      </c>
      <c r="F34" s="14" t="inlineStr">
        <is>
          <t>Not Started</t>
        </is>
      </c>
      <c r="G34" s="8" t="n">
        <v>0</v>
      </c>
      <c r="H34" s="10" t="inlineStr">
        <is>
          <t>Positions the certificate for post-rule scale.</t>
        </is>
      </c>
    </row>
    <row r="35" ht="30" customHeight="1">
      <c r="A35" t="inlineStr">
        <is>
          <t>Regulatory &amp; Safety</t>
        </is>
      </c>
      <c r="B35" s="14" t="inlineStr">
        <is>
          <t>Day 100</t>
        </is>
      </c>
      <c r="C35" s="10" t="inlineStr">
        <is>
          <t>Zero safety findings; SMS integrated into Walmart risk-governance reporting</t>
        </is>
      </c>
      <c r="D35" s="10" t="inlineStr">
        <is>
          <t>DroneUp Chief Pilot (Accountable Executive) / Walmart Chief Counsel – Aviation</t>
        </is>
      </c>
      <c r="E35" s="6">
        <f>IF($B35="Day 1",Assumptions!$B$6,IF($B35="Day 30",Assumptions!$B$7,Assumptions!$B$8))</f>
        <v/>
      </c>
      <c r="F35" s="14" t="inlineStr">
        <is>
          <t>Not Started</t>
        </is>
      </c>
      <c r="G35" s="8" t="n">
        <v>0</v>
      </c>
      <c r="H35" s="10" t="inlineStr">
        <is>
          <t>Workstream KPI per charter §4.5.</t>
        </is>
      </c>
    </row>
    <row r="36" ht="30" customHeight="1">
      <c r="A36" t="inlineStr">
        <is>
          <t>Finance &amp; Synergies</t>
        </is>
      </c>
      <c r="B36" s="14" t="inlineStr">
        <is>
          <t>Day 1</t>
        </is>
      </c>
      <c r="C36" s="10" t="inlineStr">
        <is>
          <t>Funds flow executed; escrow and earn-out administration agreements live</t>
        </is>
      </c>
      <c r="D36" s="10" t="inlineStr">
        <is>
          <t>Walmart Corporate Development Integration Finance Lead</t>
        </is>
      </c>
      <c r="E36" s="6">
        <f>IF($B36="Day 1",Assumptions!$B$6,IF($B36="Day 30",Assumptions!$B$7,Assumptions!$B$8))</f>
        <v/>
      </c>
      <c r="F36" s="14" t="inlineStr">
        <is>
          <t>Complete</t>
        </is>
      </c>
      <c r="G36" s="8" t="n">
        <v>1</v>
      </c>
      <c r="H36" s="10" t="inlineStr">
        <is>
          <t>Day-1 readiness checklist — legal, finance &amp; structure.</t>
        </is>
      </c>
    </row>
    <row r="37" ht="30" customHeight="1">
      <c r="A37" t="inlineStr">
        <is>
          <t>Finance &amp; Synergies</t>
        </is>
      </c>
      <c r="B37" s="14" t="inlineStr">
        <is>
          <t>Day 1</t>
        </is>
      </c>
      <c r="C37" s="10" t="inlineStr">
        <is>
          <t>Payroll, benefits and AP/AR continuity live (TSA where required); synergy and earn-out baselines frozen</t>
        </is>
      </c>
      <c r="D37" s="10" t="inlineStr">
        <is>
          <t>Walmart Corporate Development Integration Finance Lead</t>
        </is>
      </c>
      <c r="E37" s="6">
        <f>IF($B37="Day 1",Assumptions!$B$6,IF($B37="Day 30",Assumptions!$B$7,Assumptions!$B$8))</f>
        <v/>
      </c>
      <c r="F37" s="14" t="inlineStr">
        <is>
          <t>Complete</t>
        </is>
      </c>
      <c r="G37" s="8" t="n">
        <v>1</v>
      </c>
      <c r="H37" s="10" t="inlineStr">
        <is>
          <t>$30/delivery, partner rates and DFW throughput locked.</t>
        </is>
      </c>
    </row>
    <row r="38" ht="30" customHeight="1">
      <c r="A38" t="inlineStr">
        <is>
          <t>Finance &amp; Synergies</t>
        </is>
      </c>
      <c r="B38" s="14" t="inlineStr">
        <is>
          <t>Day 30</t>
        </is>
      </c>
      <c r="C38" s="10" t="inlineStr">
        <is>
          <t>Synergy register v1 complete — every initiative with owner, value estimate and evidence standard</t>
        </is>
      </c>
      <c r="D38" s="10" t="inlineStr">
        <is>
          <t>Walmart Corporate Development Integration Finance Lead</t>
        </is>
      </c>
      <c r="E38" s="6">
        <f>IF($B38="Day 1",Assumptions!$B$6,IF($B38="Day 30",Assumptions!$B$7,Assumptions!$B$8))</f>
        <v/>
      </c>
      <c r="F38" s="14" t="inlineStr">
        <is>
          <t>On Track</t>
        </is>
      </c>
      <c r="G38" s="8" t="n">
        <v>0.5</v>
      </c>
      <c r="H38" s="10" t="inlineStr">
        <is>
          <t>See Synergy Register tab.</t>
        </is>
      </c>
    </row>
    <row r="39" ht="30" customHeight="1">
      <c r="A39" t="inlineStr">
        <is>
          <t>Finance &amp; Synergies</t>
        </is>
      </c>
      <c r="B39" s="14" t="inlineStr">
        <is>
          <t>Day 30</t>
        </is>
      </c>
      <c r="C39" s="10" t="inlineStr">
        <is>
          <t>Earn-out tracking dashboard live</t>
        </is>
      </c>
      <c r="D39" s="10" t="inlineStr">
        <is>
          <t>Walmart Corporate Development Integration Finance Lead</t>
        </is>
      </c>
      <c r="E39" s="6">
        <f>IF($B39="Day 1",Assumptions!$B$6,IF($B39="Day 30",Assumptions!$B$7,Assumptions!$B$8))</f>
        <v/>
      </c>
      <c r="F39" s="14" t="inlineStr">
        <is>
          <t>On Track</t>
        </is>
      </c>
      <c r="G39" s="8" t="n">
        <v>0.45</v>
      </c>
      <c r="H39" s="10" t="inlineStr">
        <is>
          <t>See Earn-Out Tracker tab — one evidence base, no parallel scorekeeping.</t>
        </is>
      </c>
    </row>
    <row r="40" ht="30" customHeight="1">
      <c r="A40" t="inlineStr">
        <is>
          <t>Finance &amp; Synergies</t>
        </is>
      </c>
      <c r="B40" s="14" t="inlineStr">
        <is>
          <t>Day 100</t>
        </is>
      </c>
      <c r="C40" s="10" t="inlineStr">
        <is>
          <t>First quarterly synergy report issued to the Steering Committee</t>
        </is>
      </c>
      <c r="D40" s="10" t="inlineStr">
        <is>
          <t>Walmart Corporate Development Integration Finance Lead</t>
        </is>
      </c>
      <c r="E40" s="6">
        <f>IF($B40="Day 1",Assumptions!$B$6,IF($B40="Day 30",Assumptions!$B$7,Assumptions!$B$8))</f>
        <v/>
      </c>
      <c r="F40" s="14" t="inlineStr">
        <is>
          <t>Not Started</t>
        </is>
      </c>
      <c r="G40" s="8" t="n">
        <v>0</v>
      </c>
      <c r="H40" s="10" t="inlineStr">
        <is>
          <t>Only realised value is reported to the board.</t>
        </is>
      </c>
    </row>
    <row r="41" ht="30" customHeight="1">
      <c r="A41" t="inlineStr">
        <is>
          <t>Finance &amp; Synergies</t>
        </is>
      </c>
      <c r="B41" s="14" t="inlineStr">
        <is>
          <t>Day 100</t>
        </is>
      </c>
      <c r="C41" s="10" t="inlineStr">
        <is>
          <t>FY28 run-rate synergy forecast with confidence bands</t>
        </is>
      </c>
      <c r="D41" s="10" t="inlineStr">
        <is>
          <t>Walmart Corporate Development Integration Finance Lead</t>
        </is>
      </c>
      <c r="E41" s="6">
        <f>IF($B41="Day 1",Assumptions!$B$6,IF($B41="Day 30",Assumptions!$B$7,Assumptions!$B$8))</f>
        <v/>
      </c>
      <c r="F41" s="14" t="inlineStr">
        <is>
          <t>Not Started</t>
        </is>
      </c>
      <c r="G41" s="8" t="n">
        <v>0</v>
      </c>
      <c r="H41" s="10" t="inlineStr">
        <is>
          <t>Re-forecast quarterly against the glidepath.</t>
        </is>
      </c>
    </row>
    <row r="43">
      <c r="A43" s="3" t="inlineStr">
        <is>
          <t>Status seeding is illustrative: Day-1 milestones shown Complete, Day-30 On Track, Day-100 Not Started. Update Status and % Complete weekly; the Dashboard rolls up automatically.</t>
        </is>
      </c>
    </row>
    <row r="44">
      <c r="A44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conditionalFormatting sqref="F6:F41">
    <cfRule type="cellIs" priority="1" operator="equal" dxfId="0">
      <formula>"Complete"</formula>
    </cfRule>
    <cfRule type="cellIs" priority="2" operator="equal" dxfId="3">
      <formula>"On Track"</formula>
    </cfRule>
    <cfRule type="cellIs" priority="3" operator="equal" dxfId="1">
      <formula>"At Risk"</formula>
    </cfRule>
    <cfRule type="cellIs" priority="4" operator="equal" dxfId="4">
      <formula>"Not Started"</formula>
    </cfRule>
    <cfRule type="cellIs" priority="5" operator="equal" dxfId="0">
      <formula>"Achieved"</formula>
    </cfRule>
    <cfRule type="cellIs" priority="6" operator="equal" dxfId="3">
      <formula>"In Progress"</formula>
    </cfRule>
    <cfRule type="cellIs" priority="7" operator="equal" dxfId="2">
      <formula>"Missed"</formula>
    </cfRule>
  </conditionalFormatting>
  <dataValidations count="1">
    <dataValidation sqref="F6:F41" showDropDown="0" showInputMessage="0" showErrorMessage="0" allowBlank="1" errorTitle="Invalid status" error="Choose Not Started, On Track, At Risk or Complete." type="list">
      <formula1>"Not Started,On Track,At Risk,Complete"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42" customWidth="1" min="2" max="2"/>
    <col width="30" customWidth="1" min="3" max="3"/>
    <col width="13" customWidth="1" min="4" max="4"/>
    <col width="20" customWidth="1" min="5" max="5"/>
    <col width="15" customWidth="1" min="6" max="6"/>
    <col width="15" customWidth="1" min="7" max="7"/>
    <col width="15" customWidth="1" min="8" max="8"/>
    <col width="14" customWidth="1" min="9" max="9"/>
    <col width="56" customWidth="1" min="10" max="10"/>
  </cols>
  <sheetData>
    <row r="1">
      <c r="A1" s="2" t="inlineStr">
        <is>
          <t>Synergy Register — Categories, Owners, Value and Costs-to-Achieve</t>
        </is>
      </c>
    </row>
    <row r="2">
      <c r="A2" s="3" t="inlineStr">
        <is>
          <t>Five categories per plan §6. Baselines are frozen at close; synergies carry at Identified → Validated → Contracted → Realized, and only realised value is reported to the board. Values are illustrative planning figures ($M).</t>
        </is>
      </c>
    </row>
    <row r="5" ht="30" customHeight="1">
      <c r="A5" s="5" t="inlineStr">
        <is>
          <t>Category</t>
        </is>
      </c>
      <c r="B5" s="5" t="inlineStr">
        <is>
          <t>Primary Lever</t>
        </is>
      </c>
      <c r="C5" s="5" t="inlineStr">
        <is>
          <t>Owner</t>
        </is>
      </c>
      <c r="D5" s="5" t="inlineStr">
        <is>
          <t>Stage</t>
        </is>
      </c>
      <c r="E5" s="5" t="inlineStr">
        <is>
          <t>Timing</t>
        </is>
      </c>
      <c r="F5" s="5" t="inlineStr">
        <is>
          <t>Annual Value Estimate ($M)</t>
        </is>
      </c>
      <c r="G5" s="5" t="inlineStr">
        <is>
          <t>Realized to Date ($M)</t>
        </is>
      </c>
      <c r="H5" s="5" t="inlineStr">
        <is>
          <t>Costs-to-Achieve ($M)</t>
        </is>
      </c>
      <c r="I5" s="5" t="inlineStr">
        <is>
          <t>Net Synergy ($M)</t>
        </is>
      </c>
      <c r="J5" s="5" t="inlineStr">
        <is>
          <t>Evidence Standard</t>
        </is>
      </c>
    </row>
    <row r="6" ht="44" customHeight="1">
      <c r="A6" s="19" t="inlineStr">
        <is>
          <t>Delivery cost reduction</t>
        </is>
      </c>
      <c r="B6" s="10" t="inlineStr">
        <is>
          <t>M:N operations, 5-mile BVLOS radius, DBX automation</t>
        </is>
      </c>
      <c r="C6" s="10" t="inlineStr">
        <is>
          <t>DroneUp COO / Integration Finance Lead</t>
        </is>
      </c>
      <c r="D6" s="14" t="inlineStr">
        <is>
          <t>Validated</t>
        </is>
      </c>
      <c r="E6" s="14" t="inlineStr">
        <is>
          <t>Recurring — Q2–Q12</t>
        </is>
      </c>
      <c r="F6" s="34" t="n">
        <v>45</v>
      </c>
      <c r="G6" s="34" t="n">
        <v>6</v>
      </c>
      <c r="H6" s="34" t="n">
        <v>10</v>
      </c>
      <c r="I6" s="33">
        <f>IF($F6="","",$F6-$H6)</f>
        <v/>
      </c>
      <c r="J6" s="10" t="inlineStr">
        <is>
          <t>Cost per delivery vs. frozen $30 baseline; flight logs and hub cost actuals. Target sub-$10 by Month 18, sub-$7 by Month 36.</t>
        </is>
      </c>
    </row>
    <row r="7" ht="44" customHeight="1">
      <c r="A7" s="19" t="inlineStr">
        <is>
          <t>Partner-spend leverage</t>
        </is>
      </c>
      <c r="B7" s="10" t="inlineStr">
        <is>
          <t>ATOMx orchestration across Wing/Zipline creates pricing transparency and negotiating leverage</t>
        </is>
      </c>
      <c r="C7" s="10" t="inlineStr">
        <is>
          <t>Walmart VP Last-Mile Delivery</t>
        </is>
      </c>
      <c r="D7" s="14" t="inlineStr">
        <is>
          <t>Identified</t>
        </is>
      </c>
      <c r="E7" s="14" t="inlineStr">
        <is>
          <t>Recurring — Q3–Q8</t>
        </is>
      </c>
      <c r="F7" s="34" t="n">
        <v>12</v>
      </c>
      <c r="G7" s="34" t="n">
        <v>1.5</v>
      </c>
      <c r="H7" s="34" t="n">
        <v>0</v>
      </c>
      <c r="I7" s="33">
        <f>IF($F7="","",$F7-$H7)</f>
        <v/>
      </c>
      <c r="J7" s="10" t="inlineStr">
        <is>
          <t>Per-delivery rates and contract terms vs. pre-close benchmarks; signed partner contracts.</t>
        </is>
      </c>
    </row>
    <row r="8" ht="44" customHeight="1">
      <c r="A8" s="19" t="inlineStr">
        <is>
          <t>Revenue per hub</t>
        </is>
      </c>
      <c r="B8" s="10" t="inlineStr">
        <is>
          <t>BVLOS radius expands serviceable households ~300% per hub</t>
        </is>
      </c>
      <c r="C8" s="10" t="inlineStr">
        <is>
          <t>Walmart SVP Store Operations (Delivery)</t>
        </is>
      </c>
      <c r="D8" s="14" t="inlineStr">
        <is>
          <t>Identified</t>
        </is>
      </c>
      <c r="E8" s="14" t="inlineStr">
        <is>
          <t>Recurring — Q2–Q6</t>
        </is>
      </c>
      <c r="F8" s="34" t="n">
        <v>25</v>
      </c>
      <c r="G8" s="34" t="n">
        <v>2</v>
      </c>
      <c r="H8" s="34" t="n">
        <v>18</v>
      </c>
      <c r="I8" s="33">
        <f>IF($F8="","",$F8-$H8)</f>
        <v/>
      </c>
      <c r="J8" s="10" t="inlineStr">
        <is>
          <t>Orders per hub per day; households reachable per hub, measured off hub-level order data.</t>
        </is>
      </c>
    </row>
    <row r="9" ht="44" customHeight="1">
      <c r="A9" s="19" t="inlineStr">
        <is>
          <t>Avoided build cost</t>
        </is>
      </c>
      <c r="B9" s="10" t="inlineStr">
        <is>
          <t>Owning the stack vs. an in-house build (NPV advantage per Buy-vs-Build model)</t>
        </is>
      </c>
      <c r="C9" s="10" t="inlineStr">
        <is>
          <t>Walmart Corporate Development</t>
        </is>
      </c>
      <c r="D9" s="14" t="inlineStr">
        <is>
          <t>Realized</t>
        </is>
      </c>
      <c r="E9" s="14" t="inlineStr">
        <is>
          <t>One-time</t>
        </is>
      </c>
      <c r="F9" s="34" t="n">
        <v>161.5</v>
      </c>
      <c r="G9" s="34" t="n">
        <v>161.5</v>
      </c>
      <c r="H9" s="34" t="n">
        <v>12</v>
      </c>
      <c r="I9" s="33">
        <f>IF($F9="","",$F9-$H9)</f>
        <v/>
      </c>
      <c r="J9" s="10" t="inlineStr">
        <is>
          <t>Tracked once at close from the Buy-vs-Build model; validated against integration actuals.</t>
        </is>
      </c>
    </row>
    <row r="10" ht="44" customHeight="1">
      <c r="A10" s="19" t="inlineStr">
        <is>
          <t>New revenue options</t>
        </is>
      </c>
      <c r="B10" s="10" t="inlineStr">
        <is>
          <t>ATOMx licensing; healthcare/pharmacy delivery via ~4,600 Walmart pharmacies</t>
        </is>
      </c>
      <c r="C10" s="10" t="inlineStr">
        <is>
          <t>Walmart Corporate Development / DroneUp CEO</t>
        </is>
      </c>
      <c r="D10" s="14" t="inlineStr">
        <is>
          <t>Identified</t>
        </is>
      </c>
      <c r="E10" s="14" t="inlineStr">
        <is>
          <t>Recurring — Q4–Q12</t>
        </is>
      </c>
      <c r="F10" s="34" t="n">
        <v>18</v>
      </c>
      <c r="G10" s="34" t="n">
        <v>0</v>
      </c>
      <c r="H10" s="34" t="n">
        <v>0</v>
      </c>
      <c r="I10" s="33">
        <f>IF($F10="","",$F10-$H10)</f>
        <v/>
      </c>
      <c r="J10" s="10" t="inlineStr">
        <is>
          <t>Qualified pipeline and pilot revenue; only contracted pilots count toward realised value.</t>
        </is>
      </c>
    </row>
    <row r="11">
      <c r="A11" s="4" t="inlineStr">
        <is>
          <t>TOTAL</t>
        </is>
      </c>
      <c r="B11" s="4" t="n"/>
      <c r="C11" s="4" t="n"/>
      <c r="D11" s="4" t="n"/>
      <c r="E11" s="4" t="n"/>
      <c r="F11" s="35">
        <f>SUM(F6:F10)</f>
        <v/>
      </c>
      <c r="G11" s="35">
        <f>SUM(G6:G10)</f>
        <v/>
      </c>
      <c r="H11" s="35">
        <f>SUM(H6:H10)</f>
        <v/>
      </c>
      <c r="I11" s="35">
        <f>SUM(I6:I10)</f>
        <v/>
      </c>
      <c r="J11" s="4" t="n"/>
    </row>
    <row r="13">
      <c r="A13" s="19" t="inlineStr">
        <is>
          <t>Recurring run-rate subtotal (excludes one-time)</t>
        </is>
      </c>
      <c r="F13" s="33">
        <f>SUMIF($E$6:$E$10,"&lt;&gt;One-time",F$6:F$10)</f>
        <v/>
      </c>
      <c r="G13" s="33">
        <f>SUMIF($E$6:$E$10,"&lt;&gt;One-time",G$6:G$10)</f>
        <v/>
      </c>
    </row>
    <row r="14">
      <c r="A14" s="19" t="inlineStr">
        <is>
          <t>One-time subtotal</t>
        </is>
      </c>
      <c r="F14" s="33">
        <f>SUMIF($E$6:$E$10,"One-time",F$6:F$10)</f>
        <v/>
      </c>
      <c r="G14" s="33">
        <f>SUMIF($E$6:$E$10,"One-time",G$6:G$10)</f>
        <v/>
      </c>
    </row>
    <row r="16">
      <c r="A16" s="4" t="inlineStr">
        <is>
          <t>Costs-to-Achieve Breakdown ($M)</t>
        </is>
      </c>
    </row>
    <row r="17">
      <c r="A17" t="inlineStr">
        <is>
          <t>Retention packages (top ~25 critical staff)</t>
        </is>
      </c>
      <c r="B17" s="34" t="n">
        <v>12</v>
      </c>
    </row>
    <row r="18">
      <c r="A18" t="inlineStr">
        <is>
          <t>Hub build-outs (new supercenter hubs)</t>
        </is>
      </c>
      <c r="B18" s="34" t="n">
        <v>18</v>
      </c>
    </row>
    <row r="19">
      <c r="A19" t="inlineStr">
        <is>
          <t>Integration engineering</t>
        </is>
      </c>
      <c r="B19" s="34" t="n">
        <v>10</v>
      </c>
    </row>
    <row r="20">
      <c r="A20" s="19" t="inlineStr">
        <is>
          <t>Total costs-to-achieve</t>
        </is>
      </c>
      <c r="B20" s="33">
        <f>SUM(B17:B19)</f>
        <v/>
      </c>
      <c r="C20" s="23">
        <f>IF(ROUND($B$20-$H$11,6)=0,"Tied to register","Check allocation vs. register")</f>
        <v/>
      </c>
    </row>
    <row r="22">
      <c r="A22" s="3" t="inlineStr">
        <is>
          <t>Costs-to-achieve are one-time and are netted against benefits in the same report, so the Steering Committee always sees net synergy. Annual Value Estimate for 'Avoided build cost' is a one-time NPV advantage, not a run-rate — read it with the subtotals above.</t>
        </is>
      </c>
    </row>
    <row r="23">
      <c r="A23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dataValidations count="1">
    <dataValidation sqref="D6:D10" showDropDown="0" showInputMessage="0" showErrorMessage="0" allowBlank="1" type="list">
      <formula1>"Identified,Validated,Contracted,Realized"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54" customWidth="1" min="2" max="2"/>
    <col width="22" customWidth="1" min="3" max="3"/>
    <col width="13" customWidth="1" min="4" max="4"/>
    <col width="11" customWidth="1" min="5" max="5"/>
    <col width="9" customWidth="1" min="6" max="6"/>
    <col width="10" customWidth="1" min="7" max="7"/>
    <col width="60" customWidth="1" min="8" max="8"/>
    <col width="30" customWidth="1" min="9" max="9"/>
    <col width="26" customWidth="1" min="10" max="10"/>
  </cols>
  <sheetData>
    <row r="1">
      <c r="A1" s="2" t="inlineStr">
        <is>
          <t>Integration Risk Register</t>
        </is>
      </c>
    </row>
    <row r="2">
      <c r="A2" s="3" t="inlineStr">
        <is>
          <t>Score = Probability × Impact (1–5 each). RAG: score ≥15 Red, ≥8 Amber, otherwise Green. Probability and impact ratings are illustrative planning judgements; risks and mitigations are drawn from plan §8.</t>
        </is>
      </c>
    </row>
    <row r="5" ht="30" customHeight="1">
      <c r="A5" s="5" t="inlineStr">
        <is>
          <t>#</t>
        </is>
      </c>
      <c r="B5" s="5" t="inlineStr">
        <is>
          <t>Risk</t>
        </is>
      </c>
      <c r="C5" s="5" t="inlineStr">
        <is>
          <t>Workstream</t>
        </is>
      </c>
      <c r="D5" s="5" t="inlineStr">
        <is>
          <t>Probability (1-5)</t>
        </is>
      </c>
      <c r="E5" s="5" t="inlineStr">
        <is>
          <t>Impact (1-5)</t>
        </is>
      </c>
      <c r="F5" s="5" t="inlineStr">
        <is>
          <t>Score</t>
        </is>
      </c>
      <c r="G5" s="5" t="inlineStr">
        <is>
          <t>RAG</t>
        </is>
      </c>
      <c r="H5" s="5" t="inlineStr">
        <is>
          <t>Mitigation</t>
        </is>
      </c>
      <c r="I5" s="5" t="inlineStr">
        <is>
          <t>Owner</t>
        </is>
      </c>
      <c r="J5" s="5" t="inlineStr">
        <is>
          <t>Review Cadence</t>
        </is>
      </c>
    </row>
    <row r="6" ht="58" customHeight="1">
      <c r="A6" s="14" t="n">
        <v>1</v>
      </c>
      <c r="B6" s="10" t="inlineStr">
        <is>
          <t>Key-talent flight — regulatory-critical personnel and platform engineers depart post-close, degrading both the Part 135 certificate and the technology asset</t>
        </is>
      </c>
      <c r="C6" s="10" t="inlineStr">
        <is>
          <t>People &amp; Culture</t>
        </is>
      </c>
      <c r="D6" s="25" t="n">
        <v>3</v>
      </c>
      <c r="E6" s="25" t="n">
        <v>5</v>
      </c>
      <c r="F6" s="26">
        <f>IF(OR($D6="",$E6=""),"",$D6*$E6)</f>
        <v/>
      </c>
      <c r="G6" s="13">
        <f>IF($F6="","",IF($F6&gt;=15,"Red",IF($F6&gt;=8,"Amber","Green")))</f>
        <v/>
      </c>
      <c r="H6" s="10" t="inlineStr">
        <is>
          <t>Retention packages with 2–3 year vesting signed at close for the top ~25; earn-out ties founder/leadership economics to staying; attrition watchlist with weekly IMO review</t>
        </is>
      </c>
      <c r="I6" s="10" t="inlineStr">
        <is>
          <t>Walmart People Lead (M&amp;A) / DroneUp Head of HR</t>
        </is>
      </c>
      <c r="J6" s="10" t="inlineStr">
        <is>
          <t>Weekly — IMO</t>
        </is>
      </c>
    </row>
    <row r="7" ht="58" customHeight="1">
      <c r="A7" s="14" t="n">
        <v>2</v>
      </c>
      <c r="B7" s="10" t="inlineStr">
        <is>
          <t>FAA certificate disruption — change of ownership triggers certificate review; a lapse in named personnel or SMS continuity impairs operating authority</t>
        </is>
      </c>
      <c r="C7" s="10" t="inlineStr">
        <is>
          <t>Regulatory &amp; Safety</t>
        </is>
      </c>
      <c r="D7" s="25" t="n">
        <v>2</v>
      </c>
      <c r="E7" s="25" t="n">
        <v>5</v>
      </c>
      <c r="F7" s="26">
        <f>IF(OR($D7="",$E7=""),"",$D7*$E7)</f>
        <v/>
      </c>
      <c r="G7" s="13">
        <f>IF($F7="","",IF($F7&gt;=15,"Red",IF($F7&gt;=8,"Amber","Green")))</f>
        <v/>
      </c>
      <c r="H7" s="10" t="inlineStr">
        <is>
          <t>No Day-1 changes to the certificate-holding entity, accountable executives or safety systems; proactive FAA engagement pre- and post-close; Regulatory &amp; Safety gate at Day 30</t>
        </is>
      </c>
      <c r="I7" s="10" t="inlineStr">
        <is>
          <t>DroneUp Chief Pilot (Accountable Executive) / Walmart Chief Counsel – Aviation</t>
        </is>
      </c>
      <c r="J7" s="10" t="inlineStr">
        <is>
          <t>Weekly — immediate escalation to Steering Committee chair</t>
        </is>
      </c>
    </row>
    <row r="8" ht="58" customHeight="1">
      <c r="A8" s="14" t="n">
        <v>3</v>
      </c>
      <c r="B8" s="10" t="inlineStr">
        <is>
          <t>Unit economics fail to improve — the ~$30/delivery structure that ended the partnership persists, undermining the scaling thesis</t>
        </is>
      </c>
      <c r="C8" s="10" t="inlineStr">
        <is>
          <t>Flight Operations</t>
        </is>
      </c>
      <c r="D8" s="25" t="n">
        <v>3</v>
      </c>
      <c r="E8" s="25" t="n">
        <v>4</v>
      </c>
      <c r="F8" s="26">
        <f>IF(OR($D8="",$E8=""),"",$D8*$E8)</f>
        <v/>
      </c>
      <c r="G8" s="13">
        <f>IF($F8="","",IF($F8&gt;=15,"Red",IF($F8&gt;=8,"Amber","Green")))</f>
        <v/>
      </c>
      <c r="H8" s="10" t="inlineStr">
        <is>
          <t>Expansion gated on demonstrated cost milestones; M:N pilot by Day 100; cost-per-delivery glidepath validated by Flight Operations and re-forecast quarterly by Finance</t>
        </is>
      </c>
      <c r="I8" s="10" t="inlineStr">
        <is>
          <t>DroneUp COO / Walmart VP Last-Mile Delivery</t>
        </is>
      </c>
      <c r="J8" s="10" t="inlineStr">
        <is>
          <t>Bi-weekly — Steering Committee</t>
        </is>
      </c>
    </row>
    <row r="9" ht="58" customHeight="1">
      <c r="A9" s="14" t="n">
        <v>4</v>
      </c>
      <c r="B9" s="36" t="inlineStr">
        <is>
          <t>Integration smothers the asset — premature absorption into Walmart processes and systems slows engineering velocity and triggers cultural attrition</t>
        </is>
      </c>
      <c r="C9" s="10" t="inlineStr">
        <is>
          <t>People &amp; Culture / Technology &amp; UTM</t>
        </is>
      </c>
      <c r="D9" s="25" t="n">
        <v>3</v>
      </c>
      <c r="E9" s="25" t="n">
        <v>4</v>
      </c>
      <c r="F9" s="26">
        <f>IF(OR($D9="",$E9=""),"",$D9*$E9)</f>
        <v/>
      </c>
      <c r="G9" s="13">
        <f>IF($F9="","",IF($F9&gt;=15,"Red",IF($F9&gt;=8,"Amber","Green")))</f>
        <v/>
      </c>
      <c r="H9" s="10" t="inlineStr">
        <is>
          <t>Subsidiary operating model preserved through Year 1; integration limited to defined interfaces; IMO acts as the single point of Walmart demand on DroneUp teams</t>
        </is>
      </c>
      <c r="I9" s="10" t="inlineStr">
        <is>
          <t>IMO Integration Lead</t>
        </is>
      </c>
      <c r="J9" s="10" t="inlineStr">
        <is>
          <t>Bi-weekly — IMO</t>
        </is>
      </c>
    </row>
    <row r="10" ht="58" customHeight="1">
      <c r="A10" s="14" t="n">
        <v>5</v>
      </c>
      <c r="B10" s="36" t="inlineStr">
        <is>
          <t>Partner-channel friction — Wing and Zipline resist coordination through a Walmart-owned ATOMx layer, or deprioritize Walmart volume</t>
        </is>
      </c>
      <c r="C10" s="10" t="inlineStr">
        <is>
          <t>Commercial &amp; Stores / Technology &amp; UTM</t>
        </is>
      </c>
      <c r="D10" s="25" t="n">
        <v>3</v>
      </c>
      <c r="E10" s="25" t="n">
        <v>3</v>
      </c>
      <c r="F10" s="26">
        <f>IF(OR($D10="",$E10=""),"",$D10*$E10)</f>
        <v/>
      </c>
      <c r="G10" s="13">
        <f>IF($F10="","",IF($F10&gt;=15,"Red",IF($F10&gt;=8,"Amber","Green")))</f>
        <v/>
      </c>
      <c r="H10" s="10" t="inlineStr">
        <is>
          <t>Position ATOMx as vendor-neutral orchestration benefiting all operators; maintain both partnerships commercially through integration; sequence the orchestration pilot at low-stakes test sites first</t>
        </is>
      </c>
      <c r="I10" s="10" t="inlineStr">
        <is>
          <t>Walmart SVP Store Operations</t>
        </is>
      </c>
      <c r="J10" s="10" t="inlineStr">
        <is>
          <t>Bi-weekly — IMO</t>
        </is>
      </c>
    </row>
    <row r="11" ht="58" customHeight="1">
      <c r="A11" s="14" t="n">
        <v>6</v>
      </c>
      <c r="B11" s="10" t="inlineStr">
        <is>
          <t>Narrative / communications risk — scrutiny of the prior Virginia-market track record shapes employee, customer and partner perception of the deal</t>
        </is>
      </c>
      <c r="C11" s="10" t="inlineStr">
        <is>
          <t>Commercial &amp; Stores Rollout</t>
        </is>
      </c>
      <c r="D11" s="25" t="n">
        <v>3</v>
      </c>
      <c r="E11" s="25" t="n">
        <v>3</v>
      </c>
      <c r="F11" s="26">
        <f>IF(OR($D11="",$E11=""),"",$D11*$E11)</f>
        <v/>
      </c>
      <c r="G11" s="13">
        <f>IF($F11="","",IF($F11&gt;=15,"Red",IF($F11&gt;=8,"Amber","Green")))</f>
        <v/>
      </c>
      <c r="H11" s="10" t="inlineStr">
        <is>
          <t>Coordinated Day-1 external announcement (press release, customer notice, partner notifications); manager talking points and employee FAQ; evidence-led external messaging tied to demonstrated cost and safety milestones rather than expansion promises</t>
        </is>
      </c>
      <c r="I11" s="10" t="inlineStr">
        <is>
          <t>Walmart SVP Store Operations (Delivery) / Corporate Affairs</t>
        </is>
      </c>
      <c r="J11" s="10" t="inlineStr">
        <is>
          <t>Bi-weekly — IMO</t>
        </is>
      </c>
    </row>
    <row r="12" ht="58" customHeight="1">
      <c r="A12" s="14" t="n">
        <v>7</v>
      </c>
      <c r="B12" s="10" t="inlineStr">
        <is>
          <t>Cybersecurity — aviation and airspace-management systems (ATOMx, Uncrew) exposed during integration; credential or access-control failures carry safety as well as data consequences</t>
        </is>
      </c>
      <c r="C12" s="10" t="inlineStr">
        <is>
          <t>Technology &amp; UTM</t>
        </is>
      </c>
      <c r="D12" s="25" t="n">
        <v>2</v>
      </c>
      <c r="E12" s="25" t="n">
        <v>5</v>
      </c>
      <c r="F12" s="26">
        <f>IF(OR($D12="",$E12=""),"",$D12*$E12)</f>
        <v/>
      </c>
      <c r="G12" s="13">
        <f>IF($F12="","",IF($F12&gt;=15,"Red",IF($F12&gt;=8,"Amber","Green")))</f>
        <v/>
      </c>
      <c r="H12" s="10" t="inlineStr">
        <is>
          <t>Codebases ring-fenced with verified access controls and IP escrow at Day 1; no system migrations or credential changes in the first 30 days; cybersecurity posture review at Day 15 with aviation systems in scope</t>
        </is>
      </c>
      <c r="I12" s="10" t="inlineStr">
        <is>
          <t>DroneUp CTO / Walmart Global Tech Security</t>
        </is>
      </c>
      <c r="J12" s="10" t="inlineStr">
        <is>
          <t>Weekly — IMO until Day 30 review closes</t>
        </is>
      </c>
    </row>
    <row r="14">
      <c r="A14" s="19" t="inlineStr">
        <is>
          <t>Open risks scored Red</t>
        </is>
      </c>
      <c r="D14" s="26">
        <f>COUNTIF($G$6:$G$12,"Red")</f>
        <v/>
      </c>
    </row>
    <row r="15">
      <c r="A15" s="19" t="inlineStr">
        <is>
          <t>Open risks scored Amber</t>
        </is>
      </c>
      <c r="D15" s="26">
        <f>COUNTIF($G$6:$G$12,"Amber")</f>
        <v/>
      </c>
    </row>
    <row r="16">
      <c r="A16" s="19" t="inlineStr">
        <is>
          <t>Highest residual score</t>
        </is>
      </c>
      <c r="D16" s="26">
        <f>MAX($F$6:$F$12)</f>
        <v/>
      </c>
    </row>
    <row r="18">
      <c r="A18" s="37" t="inlineStr">
        <is>
          <t>Register now covers all five risks from plan §8 plus narrative/communications and cybersecurity. Probability and impact ratings are illustrative planning judgements calibrated to the impact levels stated in the plan (High = 5, Medium–High = 4, Medium = 3); Score and RAG are formulas.</t>
        </is>
      </c>
    </row>
    <row r="19">
      <c r="A19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conditionalFormatting sqref="G6:G12">
    <cfRule type="cellIs" priority="1" operator="equal" dxfId="0">
      <formula>"Green"</formula>
    </cfRule>
    <cfRule type="cellIs" priority="2" operator="equal" dxfId="1">
      <formula>"Amber"</formula>
    </cfRule>
    <cfRule type="cellIs" priority="3" operator="equal" dxfId="2">
      <formula>"Red"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xSplit="1" ySplit="11" topLeftCell="B1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56" customWidth="1" min="3" max="3"/>
    <col width="14" customWidth="1" min="4" max="4"/>
    <col width="18" customWidth="1" min="5" max="5"/>
    <col width="15" customWidth="1" min="6" max="6"/>
    <col width="14" customWidth="1" min="7" max="7"/>
    <col width="50" customWidth="1" min="8" max="8"/>
  </cols>
  <sheetData>
    <row r="1">
      <c r="A1" s="2" t="inlineStr">
        <is>
          <t>Earn-Out Tracker — Consideration at Risk and Milestone Status</t>
        </is>
      </c>
    </row>
    <row r="2">
      <c r="A2" s="3" t="inlineStr">
        <is>
          <t>The earn-out is tied to cost-per-delivery milestones, ATOMx integration with Wing/Zipline operations, 50+ store scaling and key-personnel retention (plan §1). Pool allocation across milestones is illustrative.</t>
        </is>
      </c>
    </row>
    <row r="4">
      <c r="A4" s="4" t="inlineStr">
        <is>
          <t>Consideration Structure</t>
        </is>
      </c>
    </row>
    <row r="5" ht="30" customHeight="1">
      <c r="A5" s="5" t="inlineStr">
        <is>
          <t>Component</t>
        </is>
      </c>
      <c r="B5" s="5" t="inlineStr">
        <is>
          <t>$M</t>
        </is>
      </c>
      <c r="C5" s="5" t="inlineStr">
        <is>
          <t>% of Total</t>
        </is>
      </c>
      <c r="D5" s="5" t="inlineStr">
        <is>
          <t>Basis</t>
        </is>
      </c>
    </row>
    <row r="6">
      <c r="A6" s="19" t="inlineStr">
        <is>
          <t>Total consideration</t>
        </is>
      </c>
      <c r="B6" s="33">
        <f>Assumptions!$B$9</f>
        <v/>
      </c>
      <c r="C6" s="8">
        <f>$B$6/$B$6</f>
        <v/>
      </c>
      <c r="D6" s="3" t="inlineStr">
        <is>
          <t>Assumptions tab, input cell B9</t>
        </is>
      </c>
    </row>
    <row r="7">
      <c r="A7" t="inlineStr">
        <is>
          <t>Cash at close</t>
        </is>
      </c>
      <c r="B7" s="33">
        <f>Assumptions!$B$12</f>
        <v/>
      </c>
      <c r="C7" s="8">
        <f>$B$7/$B$6</f>
        <v/>
      </c>
      <c r="D7" s="3" t="inlineStr">
        <is>
          <t>Formula: total × cash share (Assumptions B10)</t>
        </is>
      </c>
    </row>
    <row r="8">
      <c r="A8" t="inlineStr">
        <is>
          <t>Earn-out pool</t>
        </is>
      </c>
      <c r="B8" s="33">
        <f>Assumptions!$B$13</f>
        <v/>
      </c>
      <c r="C8" s="8">
        <f>$B$8/$B$6</f>
        <v/>
      </c>
      <c r="D8" s="3" t="inlineStr">
        <is>
          <t>Formula: total × earn-out share; plan §1 states 30–40% of consideration</t>
        </is>
      </c>
    </row>
    <row r="10">
      <c r="A10" s="4" t="inlineStr">
        <is>
          <t>Earn-Out Milestones</t>
        </is>
      </c>
    </row>
    <row r="11" ht="30" customHeight="1">
      <c r="A11" s="5" t="inlineStr">
        <is>
          <t>#</t>
        </is>
      </c>
      <c r="B11" s="5" t="inlineStr">
        <is>
          <t>Milestone</t>
        </is>
      </c>
      <c r="C11" s="5" t="inlineStr">
        <is>
          <t>Measurement Basis</t>
        </is>
      </c>
      <c r="D11" s="5" t="inlineStr">
        <is>
          <t>Target Date</t>
        </is>
      </c>
      <c r="E11" s="5" t="inlineStr">
        <is>
          <t>Consideration at Risk ($M)</t>
        </is>
      </c>
      <c r="F11" s="5" t="inlineStr">
        <is>
          <t>% of Earn-Out Pool</t>
        </is>
      </c>
      <c r="G11" s="5" t="inlineStr">
        <is>
          <t>Status</t>
        </is>
      </c>
      <c r="H11" s="5" t="inlineStr">
        <is>
          <t>Notes</t>
        </is>
      </c>
    </row>
    <row r="12" ht="46" customHeight="1">
      <c r="A12" s="14" t="n">
        <v>1</v>
      </c>
      <c r="B12" s="9" t="inlineStr">
        <is>
          <t>Cost per delivery below $10.00 by Month 18</t>
        </is>
      </c>
      <c r="C12" s="10" t="inlineStr">
        <is>
          <t>Trailing three-month fully-loaded cost per delivery vs. the $30 baseline frozen in the close model; measured from flight logs and hub cost actuals</t>
        </is>
      </c>
      <c r="D12" s="6">
        <f>EDATE(Assumptions!$B$6,18)</f>
        <v/>
      </c>
      <c r="E12" s="34" t="n">
        <v>25</v>
      </c>
      <c r="F12" s="8">
        <f>IF($E$17=0,"",$E12/$E$17)</f>
        <v/>
      </c>
      <c r="G12" s="14" t="inlineStr">
        <is>
          <t>In Progress</t>
        </is>
      </c>
      <c r="H12" s="10" t="inlineStr">
        <is>
          <t>Contractual gate 1. Glidepath shows $9.50 at Month 18 against a $10.00 threshold — minimal headroom.</t>
        </is>
      </c>
    </row>
    <row r="13" ht="46" customHeight="1">
      <c r="A13" s="14" t="n">
        <v>2</v>
      </c>
      <c r="B13" s="9" t="inlineStr">
        <is>
          <t>Cost per delivery below $7.00 by Month 36</t>
        </is>
      </c>
      <c r="C13" s="10" t="inlineStr">
        <is>
          <t>Same basis as gate 1, measured at Month 36</t>
        </is>
      </c>
      <c r="D13" s="6">
        <f>EDATE(Assumptions!$B$6,36)</f>
        <v/>
      </c>
      <c r="E13" s="34" t="n">
        <v>25</v>
      </c>
      <c r="F13" s="8">
        <f>IF($E$17=0,"",$E13/$E$17)</f>
        <v/>
      </c>
      <c r="G13" s="14" t="inlineStr">
        <is>
          <t>Not Started</t>
        </is>
      </c>
      <c r="H13" s="10" t="inlineStr">
        <is>
          <t>Contractual gate 2. Glidepath shows $6.80 against a $7.00 threshold.</t>
        </is>
      </c>
    </row>
    <row r="14" ht="46" customHeight="1">
      <c r="A14" s="14" t="n">
        <v>3</v>
      </c>
      <c r="B14" s="9" t="inlineStr">
        <is>
          <t>ATOMx integrated with Wing and Zipline operations</t>
        </is>
      </c>
      <c r="C14" s="10" t="inlineStr">
        <is>
          <t>ATOMx orchestrating live DroneUp, Wing and Zipline flights across agreed sites without airspace conflict, on the production orchestration layer</t>
        </is>
      </c>
      <c r="D14" s="6">
        <f>EDATE(Assumptions!$B$6,24)</f>
        <v/>
      </c>
      <c r="E14" s="34" t="n">
        <v>15</v>
      </c>
      <c r="F14" s="8">
        <f>IF($E$17=0,"",$E14/$E$17)</f>
        <v/>
      </c>
      <c r="G14" s="14" t="inlineStr">
        <is>
          <t>In Progress</t>
        </is>
      </c>
      <c r="H14" s="10" t="inlineStr">
        <is>
          <t>Day-100 milestone proves the pilot at two test sites; target date for full operational integration is illustrative.</t>
        </is>
      </c>
    </row>
    <row r="15" ht="46" customHeight="1">
      <c r="A15" s="14" t="n">
        <v>4</v>
      </c>
      <c r="B15" s="9" t="inlineStr">
        <is>
          <t>50+ Walmart locations operating on DroneUp technology</t>
        </is>
      </c>
      <c r="C15" s="10" t="inlineStr">
        <is>
          <t>Count of live Walmart locations with DroneUp-operated or DroneUp-platform delivery, verified from hub operating records</t>
        </is>
      </c>
      <c r="D15" s="6">
        <f>EDATE(Assumptions!$B$6,36)</f>
        <v/>
      </c>
      <c r="E15" s="34" t="n">
        <v>15</v>
      </c>
      <c r="F15" s="8">
        <f>IF($E$17=0,"",$E15/$E$17)</f>
        <v/>
      </c>
      <c r="G15" s="14" t="inlineStr">
        <is>
          <t>Not Started</t>
        </is>
      </c>
      <c r="H15" s="10" t="inlineStr">
        <is>
          <t>First 5 new supercenter hubs enter build-out at Day 100; gated on demonstrated cost milestones.</t>
        </is>
      </c>
    </row>
    <row r="16" ht="46" customHeight="1">
      <c r="A16" s="14" t="n">
        <v>5</v>
      </c>
      <c r="B16" s="9" t="inlineStr">
        <is>
          <t>Key-personnel retention through vesting</t>
        </is>
      </c>
      <c r="C16" s="10" t="inlineStr">
        <is>
          <t>Retention of the top ~25 regulatory- and engineering-critical staff through the 2–3 year vesting period, measured against the close-date roster</t>
        </is>
      </c>
      <c r="D16" s="6">
        <f>EDATE(Assumptions!$B$6,36)</f>
        <v/>
      </c>
      <c r="E16" s="34" t="n">
        <v>10</v>
      </c>
      <c r="F16" s="8">
        <f>IF($E$17=0,"",$E16/$E$17)</f>
        <v/>
      </c>
      <c r="G16" s="14" t="inlineStr">
        <is>
          <t>In Progress</t>
        </is>
      </c>
      <c r="H16" s="10" t="inlineStr">
        <is>
          <t>Day-100 target is ≥90% retention; long-term target is ≥85% through earn-out vesting.</t>
        </is>
      </c>
    </row>
    <row r="17">
      <c r="A17" s="4" t="inlineStr">
        <is>
          <t>TOTAL</t>
        </is>
      </c>
      <c r="B17" s="4" t="inlineStr">
        <is>
          <t>Total consideration at risk</t>
        </is>
      </c>
      <c r="C17" s="4" t="n"/>
      <c r="D17" s="4" t="n"/>
      <c r="E17" s="35">
        <f>SUM(E12:E16)</f>
        <v/>
      </c>
      <c r="F17" s="4" t="n"/>
      <c r="G17" s="4" t="n"/>
      <c r="H17" s="4" t="n"/>
    </row>
    <row r="19">
      <c r="A19" s="19" t="inlineStr">
        <is>
          <t>Tie-out to earn-out pool</t>
        </is>
      </c>
      <c r="E19" s="23">
        <f>IF(ROUND($E$17-$B$8,6)=0,"Tied to Assumptions earn-out pool","Allocation does not tie — review")</f>
        <v/>
      </c>
    </row>
    <row r="20">
      <c r="A20" s="19" t="inlineStr">
        <is>
          <t>Earn-out as % of total consideration</t>
        </is>
      </c>
      <c r="E20" s="8">
        <f>$B$8/$B$6</f>
        <v/>
      </c>
    </row>
    <row r="22">
      <c r="A22" s="3" t="inlineStr">
        <is>
          <t>Allocation of the pool across the five milestones (25 / 25 / 15 / 15 / 10) is an illustrative planning split, not a term sheet. Target dates key off the Close Date on the Assumptions tab.</t>
        </is>
      </c>
    </row>
    <row r="23">
      <c r="A23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conditionalFormatting sqref="G12:G16">
    <cfRule type="cellIs" priority="1" operator="equal" dxfId="0">
      <formula>"Complete"</formula>
    </cfRule>
    <cfRule type="cellIs" priority="2" operator="equal" dxfId="3">
      <formula>"On Track"</formula>
    </cfRule>
    <cfRule type="cellIs" priority="3" operator="equal" dxfId="1">
      <formula>"At Risk"</formula>
    </cfRule>
    <cfRule type="cellIs" priority="4" operator="equal" dxfId="4">
      <formula>"Not Started"</formula>
    </cfRule>
    <cfRule type="cellIs" priority="5" operator="equal" dxfId="0">
      <formula>"Achieved"</formula>
    </cfRule>
    <cfRule type="cellIs" priority="6" operator="equal" dxfId="3">
      <formula>"In Progress"</formula>
    </cfRule>
    <cfRule type="cellIs" priority="7" operator="equal" dxfId="2">
      <formula>"Missed"</formula>
    </cfRule>
  </conditionalFormatting>
  <dataValidations count="1">
    <dataValidation sqref="G12:G16" showDropDown="0" showInputMessage="0" showErrorMessage="0" allowBlank="1" type="list">
      <formula1>"Not Started,In Progress,Achieved,Missed"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62" customWidth="1" min="4" max="4"/>
  </cols>
  <sheetData>
    <row r="1">
      <c r="A1" s="2" t="inlineStr">
        <is>
          <t>Assumptions &amp; Inputs — DroneUp PMI Tracker</t>
        </is>
      </c>
    </row>
    <row r="2">
      <c r="A2" s="3" t="inlineStr">
        <is>
          <t>Amber cells are inputs. Everything else in this workbook keys off them — change the Close Date and every milestone date re-flows.</t>
        </is>
      </c>
    </row>
    <row r="4">
      <c r="A4" s="4" t="inlineStr">
        <is>
          <t>Deal &amp; Timing Inputs</t>
        </is>
      </c>
    </row>
    <row r="5" ht="30" customHeight="1">
      <c r="A5" s="5" t="inlineStr">
        <is>
          <t>Item</t>
        </is>
      </c>
      <c r="B5" s="5" t="inlineStr">
        <is>
          <t>Value</t>
        </is>
      </c>
      <c r="C5" s="5" t="inlineStr">
        <is>
          <t>Unit / Format</t>
        </is>
      </c>
      <c r="D5" s="5" t="inlineStr">
        <is>
          <t>Source / Basis</t>
        </is>
      </c>
    </row>
    <row r="6">
      <c r="A6" s="19" t="inlineStr">
        <is>
          <t>Close Date (Day 1)</t>
        </is>
      </c>
      <c r="B6" s="28" t="n">
        <v>46266</v>
      </c>
      <c r="C6" t="inlineStr">
        <is>
          <t>date</t>
        </is>
      </c>
      <c r="D6" s="3" t="inlineStr">
        <is>
          <t>Planning assumption stated in plan §5 (close-date callout)</t>
        </is>
      </c>
    </row>
    <row r="7">
      <c r="A7" s="19" t="inlineStr">
        <is>
          <t>Day 30 Gate</t>
        </is>
      </c>
      <c r="B7" s="6">
        <f>B6+29</f>
        <v/>
      </c>
      <c r="C7" t="inlineStr">
        <is>
          <t>date</t>
        </is>
      </c>
      <c r="D7" s="3" t="inlineStr">
        <is>
          <t>Formula: Close Date + 29 days (plan §5 = 2026-09-30)</t>
        </is>
      </c>
    </row>
    <row r="8">
      <c r="A8" s="19" t="inlineStr">
        <is>
          <t>Day 100 Gate</t>
        </is>
      </c>
      <c r="B8" s="6">
        <f>B6+99</f>
        <v/>
      </c>
      <c r="C8" t="inlineStr">
        <is>
          <t>date</t>
        </is>
      </c>
      <c r="D8" s="3" t="inlineStr">
        <is>
          <t>Formula: Close Date + 99 days (plan §5 = 2026-12-09)</t>
        </is>
      </c>
    </row>
    <row r="9">
      <c r="A9" s="19" t="inlineStr">
        <is>
          <t>Total consideration</t>
        </is>
      </c>
      <c r="B9" s="38" t="n">
        <v>250</v>
      </c>
      <c r="C9" t="inlineStr">
        <is>
          <t>$M</t>
        </is>
      </c>
      <c r="D9" s="3" t="inlineStr">
        <is>
          <t>Illustrative deal value per delegated task brief</t>
        </is>
      </c>
    </row>
    <row r="10">
      <c r="A10" s="19" t="inlineStr">
        <is>
          <t>Cash at close (% of total)</t>
        </is>
      </c>
      <c r="B10" s="16" t="n">
        <v>0.64</v>
      </c>
      <c r="C10" t="inlineStr">
        <is>
          <t>%</t>
        </is>
      </c>
      <c r="D10" s="3" t="inlineStr">
        <is>
          <t>Illustrative; plan §1 states earn-out is 30–40% of consideration</t>
        </is>
      </c>
    </row>
    <row r="11">
      <c r="A11" s="19" t="inlineStr">
        <is>
          <t>Earn-out (% of total)</t>
        </is>
      </c>
      <c r="B11" s="8">
        <f>1-B10</f>
        <v/>
      </c>
      <c r="C11" t="inlineStr">
        <is>
          <t>%</t>
        </is>
      </c>
      <c r="D11" s="3" t="inlineStr">
        <is>
          <t>Formula: 1 less cash share</t>
        </is>
      </c>
    </row>
    <row r="12">
      <c r="A12" s="19" t="inlineStr">
        <is>
          <t>Cash consideration</t>
        </is>
      </c>
      <c r="B12" s="39">
        <f>B9*B10</f>
        <v/>
      </c>
      <c r="C12" t="inlineStr">
        <is>
          <t>$M</t>
        </is>
      </c>
      <c r="D12" s="3" t="inlineStr">
        <is>
          <t>Formula: total × cash share</t>
        </is>
      </c>
    </row>
    <row r="13">
      <c r="A13" s="19" t="inlineStr">
        <is>
          <t>Earn-out pool</t>
        </is>
      </c>
      <c r="B13" s="39">
        <f>B9*B11</f>
        <v/>
      </c>
      <c r="C13" t="inlineStr">
        <is>
          <t>$M</t>
        </is>
      </c>
      <c r="D13" s="3" t="inlineStr">
        <is>
          <t>Formula: total × earn-out share — drives Earn-Out Tracker allocation</t>
        </is>
      </c>
    </row>
    <row r="14">
      <c r="A14" s="19" t="inlineStr">
        <is>
          <t>Cost per delivery — baseline at close</t>
        </is>
      </c>
      <c r="B14" s="32" t="n">
        <v>30</v>
      </c>
      <c r="C14" t="inlineStr">
        <is>
          <t>$/delivery</t>
        </is>
      </c>
      <c r="D14" s="3" t="inlineStr">
        <is>
          <t>Plan §1 / §7: ~$30 baseline frozen in the close model</t>
        </is>
      </c>
    </row>
    <row r="15">
      <c r="A15" s="19" t="inlineStr">
        <is>
          <t>Employees to stabilise</t>
        </is>
      </c>
      <c r="B15" s="15" t="n">
        <v>291</v>
      </c>
      <c r="C15" t="inlineStr">
        <is>
          <t>headcount</t>
        </is>
      </c>
      <c r="D15" s="3" t="inlineStr">
        <is>
          <t>Plan §1: ~291 DroneUp employees</t>
        </is>
      </c>
    </row>
    <row r="16">
      <c r="A16" s="19" t="inlineStr">
        <is>
          <t>Retention population (critical staff)</t>
        </is>
      </c>
      <c r="B16" s="15" t="n">
        <v>25</v>
      </c>
      <c r="C16" t="inlineStr">
        <is>
          <t>people</t>
        </is>
      </c>
      <c r="D16" s="3" t="inlineStr">
        <is>
          <t>Plan §1 / §4.3: top ~25 regulatory- and engineering-critical staff</t>
        </is>
      </c>
    </row>
    <row r="17">
      <c r="A17" s="19" t="inlineStr">
        <is>
          <t>Key-talent retention target (Day 100)</t>
        </is>
      </c>
      <c r="B17" s="16" t="n">
        <v>0.9</v>
      </c>
      <c r="C17" t="inlineStr">
        <is>
          <t>%</t>
        </is>
      </c>
      <c r="D17" s="3" t="inlineStr">
        <is>
          <t>Plan §4.3 / §7: ≥90% key-talent retention</t>
        </is>
      </c>
    </row>
    <row r="18">
      <c r="A18" s="19" t="inlineStr">
        <is>
          <t>Store locations target (Month 36)</t>
        </is>
      </c>
      <c r="B18" s="15" t="n">
        <v>50</v>
      </c>
      <c r="C18" t="inlineStr">
        <is>
          <t>locations</t>
        </is>
      </c>
      <c r="D18" s="3" t="inlineStr">
        <is>
          <t>Plan §7: 50+ locations by Month 36</t>
        </is>
      </c>
    </row>
    <row r="19">
      <c r="A19" s="19" t="inlineStr">
        <is>
          <t>Avoided build cost (NPV advantage)</t>
        </is>
      </c>
      <c r="B19" s="38" t="n">
        <v>161.5</v>
      </c>
      <c r="C19" t="inlineStr">
        <is>
          <t>$M one-time</t>
        </is>
      </c>
      <c r="D19" s="3" t="inlineStr">
        <is>
          <t>Plan §6: $161.5M NPV advantage per Buy-vs-Build model</t>
        </is>
      </c>
    </row>
    <row r="21">
      <c r="A21" s="4" t="inlineStr">
        <is>
          <t>Cost-per-Delivery Glidepath (Illustrative Planning Curve)</t>
        </is>
      </c>
    </row>
    <row r="22" ht="30" customHeight="1">
      <c r="A22" s="5" t="inlineStr">
        <is>
          <t>Milestone</t>
        </is>
      </c>
      <c r="B22" s="5" t="inlineStr">
        <is>
          <t>Date</t>
        </is>
      </c>
      <c r="C22" s="5" t="inlineStr">
        <is>
          <t>Cost per Delivery ($)</t>
        </is>
      </c>
      <c r="D22" s="5" t="inlineStr">
        <is>
          <t>Target Threshold ($)</t>
        </is>
      </c>
    </row>
    <row r="23">
      <c r="A23" t="inlineStr">
        <is>
          <t>Close (baseline)</t>
        </is>
      </c>
      <c r="B23" s="6">
        <f>$B$6</f>
        <v/>
      </c>
      <c r="C23" s="32" t="n">
        <v>30</v>
      </c>
      <c r="D23" s="32" t="n">
        <v>30</v>
      </c>
    </row>
    <row r="24">
      <c r="A24" t="inlineStr">
        <is>
          <t>Day 100</t>
        </is>
      </c>
      <c r="B24" s="6">
        <f>$B$8</f>
        <v/>
      </c>
      <c r="C24" s="32" t="n">
        <v>24</v>
      </c>
      <c r="D24" s="32" t="n">
        <v>30</v>
      </c>
    </row>
    <row r="25">
      <c r="A25" t="inlineStr">
        <is>
          <t>Month 12</t>
        </is>
      </c>
      <c r="B25" s="6">
        <f>EDATE($B$6,12)</f>
        <v/>
      </c>
      <c r="C25" s="32" t="n">
        <v>14</v>
      </c>
      <c r="D25" s="32" t="n">
        <v>10</v>
      </c>
    </row>
    <row r="26">
      <c r="A26" t="inlineStr">
        <is>
          <t>Month 18 (earn-out gate 1)</t>
        </is>
      </c>
      <c r="B26" s="6">
        <f>EDATE($B$6,18)</f>
        <v/>
      </c>
      <c r="C26" s="32" t="n">
        <v>9.5</v>
      </c>
      <c r="D26" s="32" t="n">
        <v>10</v>
      </c>
    </row>
    <row r="27">
      <c r="A27" t="inlineStr">
        <is>
          <t>Month 24</t>
        </is>
      </c>
      <c r="B27" s="6">
        <f>EDATE($B$6,24)</f>
        <v/>
      </c>
      <c r="C27" s="32" t="n">
        <v>8</v>
      </c>
      <c r="D27" s="32" t="n">
        <v>10</v>
      </c>
    </row>
    <row r="28">
      <c r="A28" t="inlineStr">
        <is>
          <t>Month 36 (earn-out gate 2)</t>
        </is>
      </c>
      <c r="B28" s="6">
        <f>EDATE($B$6,36)</f>
        <v/>
      </c>
      <c r="C28" s="32" t="n">
        <v>6.8</v>
      </c>
      <c r="D28" s="32" t="n">
        <v>7</v>
      </c>
    </row>
    <row r="30">
      <c r="A30" s="3" t="inlineStr">
        <is>
          <t>Glidepath values are the illustrative planning curve in plan §7; contractual gates are sub-$10 by Month 18 and sub-$7 by Month 36.</t>
        </is>
      </c>
    </row>
    <row r="31">
      <c r="A31" s="3" t="inlineStr">
        <is>
          <t>Source: DroneUp Post-Merger Integration Plan — The First 100 Days (Walmart Corporate Development, Aug 2026), referencing DroneUp Company Profile: Strategic Fit Analysis for Walmart (May 2026). All quantities are illustrative planning values unless fixed in the plan.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2026-05-28T22:53:05Z</dcterms:created>
  <dcterms:modified xsi:type="dcterms:W3CDTF">2026-08-27T16:06:45Z</dcterms:modified>
</cp:coreProperties>
</file>